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activeX/activeX8.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adjustment budget\2018 2019 Adjustment Budget to NT, PT &amp; COGHSTA\"/>
    </mc:Choice>
  </mc:AlternateContent>
  <workbookProtection workbookPassword="FB84" lockStructure="1"/>
  <bookViews>
    <workbookView xWindow="0" yWindow="0" windowWidth="10125" windowHeight="6780" tabRatio="824" firstSheet="1" activeTab="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#REF!</definedName>
    <definedName name="_cpi2">#REF!</definedName>
    <definedName name="_cpi3">#REF!</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[3]Data!$B$2</definedName>
    <definedName name="Date" localSheetId="1">Instructions!$X$10</definedName>
    <definedName name="date" localSheetId="4">[3]Data!$B$2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[3]Data!$B$1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'SB3'!$A$1:$M$170</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#REF!</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[3]Data!$B$3</definedName>
  </definedNames>
  <calcPr calcId="152511"/>
</workbook>
</file>

<file path=xl/calcChain.xml><?xml version="1.0" encoding="utf-8"?>
<calcChain xmlns="http://schemas.openxmlformats.org/spreadsheetml/2006/main">
  <c r="M62" i="17" l="1"/>
  <c r="L62" i="17"/>
  <c r="I62" i="17"/>
  <c r="M135" i="17"/>
  <c r="L135" i="17"/>
  <c r="I135" i="17"/>
  <c r="M155" i="52" l="1"/>
  <c r="L155" i="52"/>
  <c r="C155" i="52"/>
  <c r="M27" i="10"/>
  <c r="L27" i="10"/>
  <c r="M75" i="11"/>
  <c r="L75" i="11"/>
  <c r="I189" i="48"/>
  <c r="C56" i="11"/>
  <c r="C75" i="11"/>
  <c r="M50" i="18" l="1"/>
  <c r="L50" i="18" l="1"/>
  <c r="C50" i="18"/>
  <c r="C161" i="52"/>
  <c r="I32" i="10"/>
  <c r="M32" i="10" l="1"/>
  <c r="L32" i="10"/>
  <c r="M49" i="17"/>
  <c r="L49" i="17"/>
  <c r="C49" i="17"/>
  <c r="L25" i="37" l="1"/>
  <c r="P45" i="31" l="1"/>
  <c r="L28" i="13"/>
  <c r="Q49" i="31"/>
  <c r="P49" i="31"/>
  <c r="P20" i="31"/>
  <c r="L246" i="48" l="1"/>
  <c r="M161" i="1" l="1"/>
  <c r="L161" i="1"/>
  <c r="M25" i="1"/>
  <c r="L25" i="1"/>
  <c r="I25" i="1"/>
  <c r="M224" i="46"/>
  <c r="L224" i="46"/>
  <c r="I224" i="46"/>
  <c r="M137" i="46"/>
  <c r="L137" i="46"/>
  <c r="M244" i="47"/>
  <c r="M253" i="47"/>
  <c r="L253" i="47"/>
  <c r="L244" i="47"/>
  <c r="I244" i="47"/>
  <c r="J11" i="19" l="1"/>
  <c r="J12" i="19"/>
  <c r="J13" i="19"/>
  <c r="K13" i="19" s="1"/>
  <c r="J14" i="19"/>
  <c r="K14" i="19" s="1"/>
  <c r="J15" i="19"/>
  <c r="J16" i="19"/>
  <c r="J17" i="19"/>
  <c r="K17" i="19" s="1"/>
  <c r="J18" i="19"/>
  <c r="K18" i="19" s="1"/>
  <c r="J21" i="19"/>
  <c r="J22" i="19"/>
  <c r="K22" i="19" s="1"/>
  <c r="J23" i="19"/>
  <c r="J25" i="19"/>
  <c r="J26" i="19"/>
  <c r="K26" i="19" s="1"/>
  <c r="J27" i="19"/>
  <c r="J29" i="19"/>
  <c r="K29" i="19" s="1"/>
  <c r="J30" i="19"/>
  <c r="K30" i="19" s="1"/>
  <c r="J32" i="19"/>
  <c r="J33" i="19"/>
  <c r="J35" i="19"/>
  <c r="J36" i="19"/>
  <c r="J37" i="19"/>
  <c r="J38" i="19"/>
  <c r="K38" i="19" s="1"/>
  <c r="J39" i="19"/>
  <c r="J40" i="19"/>
  <c r="J41" i="19"/>
  <c r="J42" i="19"/>
  <c r="K42" i="19" s="1"/>
  <c r="J43" i="19"/>
  <c r="J44" i="19"/>
  <c r="J45" i="19"/>
  <c r="K45" i="19" s="1"/>
  <c r="J46" i="19"/>
  <c r="K46" i="19" s="1"/>
  <c r="J47" i="19"/>
  <c r="J48" i="19"/>
  <c r="J49" i="19"/>
  <c r="J51" i="19"/>
  <c r="J52" i="19"/>
  <c r="J53" i="19"/>
  <c r="J54" i="19"/>
  <c r="K54" i="19" s="1"/>
  <c r="J55" i="19"/>
  <c r="J56" i="19"/>
  <c r="J57" i="19"/>
  <c r="J58" i="19"/>
  <c r="K58" i="19" s="1"/>
  <c r="J59" i="19"/>
  <c r="J64" i="19"/>
  <c r="J65" i="19"/>
  <c r="J66" i="19"/>
  <c r="K66" i="19" s="1"/>
  <c r="J67" i="19"/>
  <c r="J68" i="19"/>
  <c r="J69" i="19"/>
  <c r="J70" i="19"/>
  <c r="K70" i="19" s="1"/>
  <c r="J71" i="19"/>
  <c r="J72" i="19"/>
  <c r="J74" i="19"/>
  <c r="K74" i="19" s="1"/>
  <c r="J75" i="19"/>
  <c r="J76" i="19"/>
  <c r="K76" i="19" s="1"/>
  <c r="J78" i="19"/>
  <c r="K78" i="19" s="1"/>
  <c r="J79" i="19"/>
  <c r="J80" i="19"/>
  <c r="J82" i="19"/>
  <c r="K82" i="19" s="1"/>
  <c r="J83" i="19"/>
  <c r="J84" i="19"/>
  <c r="J85" i="19"/>
  <c r="J86" i="19"/>
  <c r="K86" i="19" s="1"/>
  <c r="J87" i="19"/>
  <c r="J89" i="19"/>
  <c r="J90" i="19"/>
  <c r="K90" i="19" s="1"/>
  <c r="J91" i="19"/>
  <c r="K91" i="19" s="1"/>
  <c r="J92" i="19"/>
  <c r="J93" i="19"/>
  <c r="K93" i="19" s="1"/>
  <c r="J94" i="19"/>
  <c r="K94" i="19" s="1"/>
  <c r="J95" i="19"/>
  <c r="K95" i="19" s="1"/>
  <c r="J96" i="19"/>
  <c r="J97" i="19"/>
  <c r="J98" i="19"/>
  <c r="K98" i="19" s="1"/>
  <c r="J99" i="19"/>
  <c r="K99" i="19" s="1"/>
  <c r="J100" i="19"/>
  <c r="J101" i="19"/>
  <c r="J102" i="19"/>
  <c r="K102" i="19" s="1"/>
  <c r="J103" i="19"/>
  <c r="J104" i="19"/>
  <c r="J105" i="19"/>
  <c r="J106" i="19"/>
  <c r="K106" i="19" s="1"/>
  <c r="J107" i="19"/>
  <c r="K107" i="19" s="1"/>
  <c r="J108" i="19"/>
  <c r="J109" i="19"/>
  <c r="K109" i="19" s="1"/>
  <c r="J110" i="19"/>
  <c r="K110" i="19" s="1"/>
  <c r="J111" i="19"/>
  <c r="K111" i="19" s="1"/>
  <c r="J112" i="19"/>
  <c r="J113" i="19"/>
  <c r="J115" i="19"/>
  <c r="K115" i="19" s="1"/>
  <c r="J116" i="19"/>
  <c r="K116" i="19" s="1"/>
  <c r="J117" i="19"/>
  <c r="J118" i="19"/>
  <c r="K118" i="19" s="1"/>
  <c r="J119" i="19"/>
  <c r="J120" i="19"/>
  <c r="K120" i="19" s="1"/>
  <c r="J121" i="19"/>
  <c r="J122" i="19"/>
  <c r="K122" i="19" s="1"/>
  <c r="J123" i="19"/>
  <c r="K123" i="19" s="1"/>
  <c r="J124" i="19"/>
  <c r="K124" i="19" s="1"/>
  <c r="J125" i="19"/>
  <c r="J126" i="19"/>
  <c r="K126" i="19" s="1"/>
  <c r="J127" i="19"/>
  <c r="K127" i="19" s="1"/>
  <c r="J128" i="19"/>
  <c r="K128" i="19" s="1"/>
  <c r="J129" i="19"/>
  <c r="J130" i="19"/>
  <c r="K130" i="19" s="1"/>
  <c r="J131" i="19"/>
  <c r="K131" i="19" s="1"/>
  <c r="J132" i="19"/>
  <c r="K132" i="19" s="1"/>
  <c r="J133" i="19"/>
  <c r="J134" i="19"/>
  <c r="K134" i="19" s="1"/>
  <c r="J135" i="19"/>
  <c r="J136" i="19"/>
  <c r="K136" i="19" s="1"/>
  <c r="J137" i="19"/>
  <c r="J138" i="19"/>
  <c r="K138" i="19" s="1"/>
  <c r="J139" i="19"/>
  <c r="J140" i="19"/>
  <c r="K140" i="19" s="1"/>
  <c r="J141" i="19"/>
  <c r="J142" i="19"/>
  <c r="K142" i="19" s="1"/>
  <c r="J143" i="19"/>
  <c r="J144" i="19"/>
  <c r="K144" i="19" s="1"/>
  <c r="J145" i="19"/>
  <c r="J146" i="19"/>
  <c r="K146" i="19" s="1"/>
  <c r="J147" i="19"/>
  <c r="K147" i="19" s="1"/>
  <c r="J148" i="19"/>
  <c r="K148" i="19" s="1"/>
  <c r="J149" i="19"/>
  <c r="J150" i="19"/>
  <c r="K150" i="19" s="1"/>
  <c r="J151" i="19"/>
  <c r="J152" i="19"/>
  <c r="K152" i="19" s="1"/>
  <c r="J153" i="19"/>
  <c r="J154" i="19"/>
  <c r="K154" i="19" s="1"/>
  <c r="J155" i="19"/>
  <c r="J156" i="19"/>
  <c r="K156" i="19" s="1"/>
  <c r="J157" i="19"/>
  <c r="K157" i="19" s="1"/>
  <c r="J158" i="19"/>
  <c r="K158" i="19" s="1"/>
  <c r="J159" i="19"/>
  <c r="J160" i="19"/>
  <c r="J161" i="19"/>
  <c r="J9" i="19"/>
  <c r="J10" i="19"/>
  <c r="K11" i="19"/>
  <c r="K12" i="19"/>
  <c r="K15" i="19"/>
  <c r="K16" i="19"/>
  <c r="K21" i="19"/>
  <c r="K23" i="19"/>
  <c r="K25" i="19"/>
  <c r="K27" i="19"/>
  <c r="K32" i="19"/>
  <c r="K33" i="19"/>
  <c r="K35" i="19"/>
  <c r="K36" i="19"/>
  <c r="K39" i="19"/>
  <c r="K40" i="19"/>
  <c r="K41" i="19"/>
  <c r="K43" i="19"/>
  <c r="K44" i="19"/>
  <c r="K47" i="19"/>
  <c r="K48" i="19"/>
  <c r="K49" i="19"/>
  <c r="K51" i="19"/>
  <c r="K52" i="19"/>
  <c r="K53" i="19"/>
  <c r="K55" i="19"/>
  <c r="K56" i="19"/>
  <c r="K57" i="19"/>
  <c r="K59" i="19"/>
  <c r="K64" i="19"/>
  <c r="K65" i="19"/>
  <c r="K67" i="19"/>
  <c r="K68" i="19"/>
  <c r="K69" i="19"/>
  <c r="K71" i="19"/>
  <c r="K72" i="19"/>
  <c r="K75" i="19"/>
  <c r="K79" i="19"/>
  <c r="K80" i="19"/>
  <c r="K83" i="19"/>
  <c r="K84" i="19"/>
  <c r="K85" i="19"/>
  <c r="K87" i="19"/>
  <c r="K89" i="19"/>
  <c r="K92" i="19"/>
  <c r="K96" i="19"/>
  <c r="K97" i="19"/>
  <c r="K100" i="19"/>
  <c r="K101" i="19"/>
  <c r="K103" i="19"/>
  <c r="K104" i="19"/>
  <c r="K105" i="19"/>
  <c r="K108" i="19"/>
  <c r="K112" i="19"/>
  <c r="K113" i="19"/>
  <c r="K117" i="19"/>
  <c r="K119" i="19"/>
  <c r="K121" i="19"/>
  <c r="K125" i="19"/>
  <c r="K129" i="19"/>
  <c r="K133" i="19"/>
  <c r="K135" i="19"/>
  <c r="K137" i="19"/>
  <c r="K139" i="19"/>
  <c r="K141" i="19"/>
  <c r="K143" i="19"/>
  <c r="K149" i="19"/>
  <c r="K151" i="19"/>
  <c r="K153" i="19"/>
  <c r="K155" i="19"/>
  <c r="K159" i="19"/>
  <c r="K160" i="19"/>
  <c r="K161" i="19"/>
  <c r="K9" i="19"/>
  <c r="K10" i="19"/>
  <c r="K19" i="30" l="1"/>
  <c r="K39" i="30"/>
  <c r="I41" i="13" l="1"/>
  <c r="I155" i="34" l="1"/>
  <c r="I161" i="34"/>
  <c r="I25" i="34"/>
  <c r="I158" i="34"/>
  <c r="I74" i="53"/>
  <c r="I10" i="53"/>
  <c r="I10" i="34"/>
  <c r="I200" i="48"/>
  <c r="I260" i="48"/>
  <c r="I257" i="48"/>
  <c r="I261" i="48"/>
  <c r="I256" i="48"/>
  <c r="I223" i="48"/>
  <c r="I222" i="48"/>
  <c r="I214" i="48"/>
  <c r="I57" i="11"/>
  <c r="I47" i="11"/>
  <c r="I56" i="11" l="1"/>
  <c r="I63" i="11"/>
  <c r="I46" i="11"/>
  <c r="I140" i="17"/>
  <c r="I133" i="17"/>
  <c r="I198" i="47"/>
  <c r="I190" i="47"/>
  <c r="I189" i="47"/>
  <c r="I136" i="46"/>
  <c r="I213" i="46"/>
  <c r="I142" i="46"/>
  <c r="I204" i="46"/>
  <c r="M147" i="46" l="1"/>
  <c r="L147" i="46"/>
  <c r="J8" i="19" l="1"/>
  <c r="K8" i="19" s="1"/>
  <c r="J163" i="19"/>
  <c r="K163" i="19" s="1"/>
  <c r="L163" i="19" s="1"/>
  <c r="M163" i="19" s="1"/>
  <c r="A164" i="19"/>
  <c r="M39" i="14"/>
  <c r="L39" i="14"/>
  <c r="J33" i="18"/>
  <c r="K33" i="18" s="1"/>
  <c r="D39" i="14"/>
  <c r="C39" i="14"/>
  <c r="C36" i="18"/>
  <c r="A25" i="31"/>
  <c r="R21" i="31"/>
  <c r="Q21" i="31"/>
  <c r="Q33" i="31" s="1"/>
  <c r="P21" i="31"/>
  <c r="M21" i="31"/>
  <c r="L21" i="31"/>
  <c r="K21" i="31"/>
  <c r="K33" i="31" s="1"/>
  <c r="J21" i="31"/>
  <c r="I21" i="31"/>
  <c r="H21" i="31"/>
  <c r="H33" i="31" s="1"/>
  <c r="G21" i="31"/>
  <c r="G33" i="31" s="1"/>
  <c r="F21" i="31"/>
  <c r="E21" i="31"/>
  <c r="E33" i="31" s="1"/>
  <c r="D21" i="31"/>
  <c r="D33" i="31" s="1"/>
  <c r="C21" i="31"/>
  <c r="M22" i="30"/>
  <c r="L22" i="30"/>
  <c r="K22" i="30"/>
  <c r="J22" i="30"/>
  <c r="I22" i="30"/>
  <c r="H22" i="30"/>
  <c r="G22" i="30"/>
  <c r="F22" i="30"/>
  <c r="E22" i="30"/>
  <c r="D22" i="30"/>
  <c r="C22" i="30"/>
  <c r="J160" i="15"/>
  <c r="K160" i="15" s="1"/>
  <c r="J156" i="15"/>
  <c r="K156" i="15" s="1"/>
  <c r="J153" i="15"/>
  <c r="K153" i="15"/>
  <c r="J149" i="15"/>
  <c r="K149" i="15" s="1"/>
  <c r="J185" i="46"/>
  <c r="K185" i="46"/>
  <c r="A185" i="46"/>
  <c r="J184" i="46"/>
  <c r="K184" i="46" s="1"/>
  <c r="A184" i="46"/>
  <c r="J62" i="46"/>
  <c r="K62" i="46" s="1"/>
  <c r="J63" i="46"/>
  <c r="K63" i="46"/>
  <c r="C9" i="53"/>
  <c r="D9" i="53"/>
  <c r="E9" i="53"/>
  <c r="F9" i="53"/>
  <c r="G9" i="53"/>
  <c r="H9" i="53"/>
  <c r="I9" i="53"/>
  <c r="J9" i="53" s="1"/>
  <c r="J72" i="15" s="1"/>
  <c r="L9" i="53"/>
  <c r="M9" i="53"/>
  <c r="J10" i="53"/>
  <c r="K10" i="53" s="1"/>
  <c r="J11" i="53"/>
  <c r="K11" i="53"/>
  <c r="J12" i="53"/>
  <c r="K12" i="53" s="1"/>
  <c r="J13" i="53"/>
  <c r="K13" i="53"/>
  <c r="C14" i="53"/>
  <c r="D14" i="53"/>
  <c r="E14" i="53"/>
  <c r="F14" i="53"/>
  <c r="G14" i="53"/>
  <c r="H14" i="53"/>
  <c r="I14" i="53"/>
  <c r="J14" i="53"/>
  <c r="L14" i="53"/>
  <c r="M14" i="53"/>
  <c r="J15" i="53"/>
  <c r="K15" i="53"/>
  <c r="J16" i="53"/>
  <c r="K16" i="53" s="1"/>
  <c r="J17" i="53"/>
  <c r="K17" i="53"/>
  <c r="C18" i="53"/>
  <c r="D18" i="53"/>
  <c r="E18" i="53"/>
  <c r="F18" i="53"/>
  <c r="G18" i="53"/>
  <c r="H18" i="53"/>
  <c r="I18" i="53"/>
  <c r="L18" i="53"/>
  <c r="M18" i="53"/>
  <c r="J19" i="53"/>
  <c r="K19" i="53"/>
  <c r="J20" i="53"/>
  <c r="K20" i="53"/>
  <c r="J21" i="53"/>
  <c r="K21" i="53"/>
  <c r="J22" i="53"/>
  <c r="K22" i="53"/>
  <c r="J23" i="53"/>
  <c r="K23" i="53"/>
  <c r="J24" i="53"/>
  <c r="K24" i="53"/>
  <c r="J25" i="53"/>
  <c r="K25" i="53" s="1"/>
  <c r="J26" i="53"/>
  <c r="K26" i="53"/>
  <c r="J27" i="53"/>
  <c r="K27" i="53"/>
  <c r="C28" i="53"/>
  <c r="D28" i="53"/>
  <c r="E28" i="53"/>
  <c r="F28" i="53"/>
  <c r="G28" i="53"/>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J39" i="53" s="1"/>
  <c r="L39" i="53"/>
  <c r="M39" i="53"/>
  <c r="J40" i="53"/>
  <c r="K40" i="53"/>
  <c r="J41" i="53"/>
  <c r="K41" i="53"/>
  <c r="J42" i="53"/>
  <c r="K42" i="53"/>
  <c r="J43" i="53"/>
  <c r="K43" i="53"/>
  <c r="J44" i="53"/>
  <c r="K44" i="53"/>
  <c r="J45" i="53"/>
  <c r="K45" i="53"/>
  <c r="C46" i="53"/>
  <c r="D46" i="53"/>
  <c r="E46" i="53"/>
  <c r="F46" i="53"/>
  <c r="G46" i="53"/>
  <c r="H46" i="53"/>
  <c r="I46" i="53"/>
  <c r="L46" i="53"/>
  <c r="M46" i="53"/>
  <c r="J47" i="53"/>
  <c r="K47" i="53" s="1"/>
  <c r="J48" i="53"/>
  <c r="K48" i="53"/>
  <c r="J49" i="53"/>
  <c r="K49" i="53" s="1"/>
  <c r="J50" i="53"/>
  <c r="K50" i="53"/>
  <c r="J51" i="53"/>
  <c r="K51" i="53" s="1"/>
  <c r="J52" i="53"/>
  <c r="K52" i="53"/>
  <c r="J53" i="53"/>
  <c r="K53" i="53" s="1"/>
  <c r="C54" i="53"/>
  <c r="D54" i="53"/>
  <c r="E54" i="53"/>
  <c r="J54" i="53" s="1"/>
  <c r="F54" i="53"/>
  <c r="G54" i="53"/>
  <c r="H54" i="53"/>
  <c r="I54" i="53"/>
  <c r="L54" i="53"/>
  <c r="M54" i="53"/>
  <c r="J55" i="53"/>
  <c r="K55" i="53" s="1"/>
  <c r="J56" i="53"/>
  <c r="K56" i="53"/>
  <c r="J57" i="53"/>
  <c r="K57" i="53" s="1"/>
  <c r="J58" i="53"/>
  <c r="K58" i="53"/>
  <c r="J59" i="53"/>
  <c r="K59" i="53" s="1"/>
  <c r="J60" i="53"/>
  <c r="K60" i="53"/>
  <c r="J61" i="53"/>
  <c r="K61" i="53" s="1"/>
  <c r="J62" i="53"/>
  <c r="K62" i="53"/>
  <c r="J63" i="53"/>
  <c r="K63" i="53" s="1"/>
  <c r="C64" i="53"/>
  <c r="D64" i="53"/>
  <c r="D79" i="15" s="1"/>
  <c r="E64" i="53"/>
  <c r="F64" i="53"/>
  <c r="G64" i="53"/>
  <c r="H64" i="53"/>
  <c r="H79" i="15" s="1"/>
  <c r="I64" i="53"/>
  <c r="L64" i="53"/>
  <c r="M64" i="53"/>
  <c r="J65" i="53"/>
  <c r="K65" i="53" s="1"/>
  <c r="J66" i="53"/>
  <c r="K66" i="53"/>
  <c r="J67" i="53"/>
  <c r="K67" i="53" s="1"/>
  <c r="J68" i="53"/>
  <c r="K68" i="53"/>
  <c r="J69" i="53"/>
  <c r="K69" i="53" s="1"/>
  <c r="C70" i="53"/>
  <c r="C80" i="15"/>
  <c r="D70" i="53"/>
  <c r="E70" i="53"/>
  <c r="F70" i="53"/>
  <c r="G70" i="53"/>
  <c r="H70" i="53"/>
  <c r="I70" i="53"/>
  <c r="L70" i="53"/>
  <c r="L8" i="53" s="1"/>
  <c r="M70" i="53"/>
  <c r="J71" i="53"/>
  <c r="K71" i="53"/>
  <c r="J72" i="53"/>
  <c r="K72" i="53" s="1"/>
  <c r="J73" i="53"/>
  <c r="K73" i="53"/>
  <c r="J74" i="53"/>
  <c r="K74" i="53" s="1"/>
  <c r="C77" i="53"/>
  <c r="C76" i="53"/>
  <c r="D77" i="53"/>
  <c r="E77" i="53"/>
  <c r="F77" i="53"/>
  <c r="F76" i="53" s="1"/>
  <c r="G77" i="53"/>
  <c r="H77" i="53"/>
  <c r="I77" i="53"/>
  <c r="L77" i="53"/>
  <c r="M77" i="53"/>
  <c r="M76" i="53"/>
  <c r="J78" i="53"/>
  <c r="K78" i="53"/>
  <c r="J79" i="53"/>
  <c r="K79" i="53"/>
  <c r="J80" i="53"/>
  <c r="K80" i="53"/>
  <c r="J81" i="53"/>
  <c r="K81" i="53"/>
  <c r="J82" i="53"/>
  <c r="K82" i="53"/>
  <c r="J83" i="53"/>
  <c r="K83" i="53"/>
  <c r="J84" i="53"/>
  <c r="K84" i="53"/>
  <c r="J85" i="53"/>
  <c r="K85" i="53"/>
  <c r="J86" i="53"/>
  <c r="K86" i="53"/>
  <c r="J87" i="53"/>
  <c r="K87" i="53"/>
  <c r="J88" i="53"/>
  <c r="K88" i="53"/>
  <c r="J89" i="53"/>
  <c r="K89" i="53"/>
  <c r="J90" i="53"/>
  <c r="K90" i="53"/>
  <c r="J91" i="53"/>
  <c r="K91" i="53"/>
  <c r="J92" i="53"/>
  <c r="K92" i="53"/>
  <c r="J93" i="53"/>
  <c r="K93" i="53"/>
  <c r="J94" i="53"/>
  <c r="K94" i="53"/>
  <c r="J95" i="53"/>
  <c r="K95" i="53"/>
  <c r="J96" i="53"/>
  <c r="K96" i="53"/>
  <c r="J97" i="53"/>
  <c r="K97" i="53"/>
  <c r="J98" i="53"/>
  <c r="K98" i="53"/>
  <c r="J99" i="53"/>
  <c r="K99" i="53"/>
  <c r="C100" i="53"/>
  <c r="D100" i="53"/>
  <c r="D76" i="53"/>
  <c r="E100" i="53"/>
  <c r="F100" i="53"/>
  <c r="G100" i="53"/>
  <c r="H100" i="53"/>
  <c r="I100" i="53"/>
  <c r="L100" i="53"/>
  <c r="L76" i="53" s="1"/>
  <c r="M100" i="53"/>
  <c r="J101" i="53"/>
  <c r="K101" i="53"/>
  <c r="J102" i="53"/>
  <c r="K102" i="53" s="1"/>
  <c r="J103" i="53"/>
  <c r="K103" i="53"/>
  <c r="C105" i="53"/>
  <c r="D105" i="53"/>
  <c r="E105" i="53"/>
  <c r="F105" i="53"/>
  <c r="G105" i="53"/>
  <c r="H105" i="53"/>
  <c r="I105" i="53"/>
  <c r="L105" i="53"/>
  <c r="M105" i="53"/>
  <c r="J106" i="53"/>
  <c r="K106" i="53"/>
  <c r="J107" i="53"/>
  <c r="K107" i="53"/>
  <c r="J108" i="53"/>
  <c r="K108" i="53"/>
  <c r="J109" i="53"/>
  <c r="K109" i="53"/>
  <c r="J110" i="53"/>
  <c r="K110" i="53"/>
  <c r="D112" i="53"/>
  <c r="L112" i="53"/>
  <c r="C113" i="53"/>
  <c r="D113" i="53"/>
  <c r="E113" i="53"/>
  <c r="E112" i="53" s="1"/>
  <c r="F113" i="53"/>
  <c r="G113" i="53"/>
  <c r="H113" i="53"/>
  <c r="I113" i="53"/>
  <c r="I112" i="53" s="1"/>
  <c r="L113" i="53"/>
  <c r="M113" i="53"/>
  <c r="M112" i="53"/>
  <c r="J114" i="53"/>
  <c r="K114" i="53" s="1"/>
  <c r="J115" i="53"/>
  <c r="K115" i="53"/>
  <c r="C116" i="53"/>
  <c r="C112" i="53" s="1"/>
  <c r="D116" i="53"/>
  <c r="E116" i="53"/>
  <c r="F116" i="53"/>
  <c r="F112" i="53" s="1"/>
  <c r="G116" i="53"/>
  <c r="H116" i="53"/>
  <c r="H112" i="53" s="1"/>
  <c r="I116" i="53"/>
  <c r="L116" i="53"/>
  <c r="M116" i="53"/>
  <c r="J117" i="53"/>
  <c r="K117" i="53"/>
  <c r="J118" i="53"/>
  <c r="K118" i="53" s="1"/>
  <c r="C121" i="53"/>
  <c r="D121" i="53"/>
  <c r="E121" i="53"/>
  <c r="F121" i="53"/>
  <c r="G121" i="53"/>
  <c r="G120" i="53" s="1"/>
  <c r="H121" i="53"/>
  <c r="I121" i="53"/>
  <c r="L121" i="53"/>
  <c r="L120" i="53" s="1"/>
  <c r="M121" i="53"/>
  <c r="M120" i="53"/>
  <c r="J122" i="53"/>
  <c r="K122" i="53" s="1"/>
  <c r="J123" i="53"/>
  <c r="K123" i="53"/>
  <c r="J124" i="53"/>
  <c r="K124" i="53" s="1"/>
  <c r="J125" i="53"/>
  <c r="K125" i="53"/>
  <c r="J126" i="53"/>
  <c r="K126" i="53" s="1"/>
  <c r="J127" i="53"/>
  <c r="K127" i="53"/>
  <c r="J128" i="53"/>
  <c r="K128" i="53" s="1"/>
  <c r="J129" i="53"/>
  <c r="K129" i="53"/>
  <c r="J130" i="53"/>
  <c r="K130" i="53" s="1"/>
  <c r="J131" i="53"/>
  <c r="K131" i="53"/>
  <c r="J132" i="53"/>
  <c r="K132" i="53" s="1"/>
  <c r="C133" i="53"/>
  <c r="C120" i="53"/>
  <c r="D133" i="53"/>
  <c r="E133" i="53"/>
  <c r="F133" i="53"/>
  <c r="G133" i="53"/>
  <c r="H133" i="53"/>
  <c r="H120" i="53" s="1"/>
  <c r="I133" i="53"/>
  <c r="I120" i="53"/>
  <c r="L133" i="53"/>
  <c r="M133" i="53"/>
  <c r="J134" i="53"/>
  <c r="K134" i="53"/>
  <c r="J135" i="53"/>
  <c r="K135" i="53"/>
  <c r="J136" i="53"/>
  <c r="K136" i="53"/>
  <c r="C138" i="53"/>
  <c r="D138" i="53"/>
  <c r="E138" i="53"/>
  <c r="F138" i="53"/>
  <c r="G138" i="53"/>
  <c r="H138" i="53"/>
  <c r="I138" i="53"/>
  <c r="L138" i="53"/>
  <c r="M138" i="53"/>
  <c r="J139" i="53"/>
  <c r="K139" i="53"/>
  <c r="E141" i="53"/>
  <c r="G141" i="53"/>
  <c r="J142" i="53"/>
  <c r="K142" i="53" s="1"/>
  <c r="C143" i="53"/>
  <c r="C141" i="53"/>
  <c r="D143" i="53"/>
  <c r="D141" i="53" s="1"/>
  <c r="E143" i="53"/>
  <c r="F143" i="53"/>
  <c r="F141" i="53" s="1"/>
  <c r="G143" i="53"/>
  <c r="H143" i="53"/>
  <c r="H141" i="53"/>
  <c r="I143" i="53"/>
  <c r="I141" i="53" s="1"/>
  <c r="L143" i="53"/>
  <c r="L141" i="53"/>
  <c r="M143" i="53"/>
  <c r="M141" i="53" s="1"/>
  <c r="J144" i="53"/>
  <c r="K144" i="53"/>
  <c r="J145" i="53"/>
  <c r="K145" i="53"/>
  <c r="J146" i="53"/>
  <c r="K146" i="53"/>
  <c r="J147" i="53"/>
  <c r="K147" i="53"/>
  <c r="J148" i="53"/>
  <c r="K148" i="53"/>
  <c r="J149" i="53"/>
  <c r="K149" i="53"/>
  <c r="C151" i="53"/>
  <c r="D151" i="53"/>
  <c r="E151" i="53"/>
  <c r="F151" i="53"/>
  <c r="G151" i="53"/>
  <c r="H151" i="53"/>
  <c r="I151" i="53"/>
  <c r="J151" i="53" s="1"/>
  <c r="L151" i="53"/>
  <c r="M151" i="53"/>
  <c r="J152" i="53"/>
  <c r="K152" i="53"/>
  <c r="C154" i="53"/>
  <c r="D154" i="53"/>
  <c r="E154" i="53"/>
  <c r="F154" i="53"/>
  <c r="G154" i="53"/>
  <c r="H154" i="53"/>
  <c r="I154" i="53"/>
  <c r="L154" i="53"/>
  <c r="M154" i="53"/>
  <c r="J155" i="53"/>
  <c r="K155" i="53"/>
  <c r="C157" i="53"/>
  <c r="D157" i="53"/>
  <c r="E157" i="53"/>
  <c r="F157" i="53"/>
  <c r="G157" i="53"/>
  <c r="H157" i="53"/>
  <c r="I157" i="53"/>
  <c r="L157" i="53"/>
  <c r="M157" i="53"/>
  <c r="J158" i="53"/>
  <c r="K158" i="53"/>
  <c r="C160" i="53"/>
  <c r="D160" i="53"/>
  <c r="E160" i="53"/>
  <c r="F160" i="53"/>
  <c r="G160" i="53"/>
  <c r="H160" i="53"/>
  <c r="I160" i="53"/>
  <c r="L160" i="53"/>
  <c r="M160" i="53"/>
  <c r="J161" i="53"/>
  <c r="K161" i="53" s="1"/>
  <c r="C163" i="53"/>
  <c r="D163" i="53"/>
  <c r="E163" i="53"/>
  <c r="J163" i="53" s="1"/>
  <c r="F163" i="53"/>
  <c r="G163" i="53"/>
  <c r="H163" i="53"/>
  <c r="I163" i="53"/>
  <c r="L163" i="53"/>
  <c r="M163" i="53"/>
  <c r="J164" i="53"/>
  <c r="K164" i="53" s="1"/>
  <c r="C166" i="53"/>
  <c r="D166" i="53"/>
  <c r="E166" i="53"/>
  <c r="F166" i="53"/>
  <c r="G166" i="53"/>
  <c r="H166" i="53"/>
  <c r="J166" i="53"/>
  <c r="I166" i="53"/>
  <c r="L166" i="53"/>
  <c r="M166" i="53"/>
  <c r="J167" i="53"/>
  <c r="K167" i="53" s="1"/>
  <c r="C9" i="37"/>
  <c r="D9" i="37"/>
  <c r="E9" i="37"/>
  <c r="F9" i="37"/>
  <c r="G9" i="37"/>
  <c r="H9" i="37"/>
  <c r="I9" i="37"/>
  <c r="L9" i="37"/>
  <c r="M9" i="37"/>
  <c r="M8" i="37" s="1"/>
  <c r="M169" i="37" s="1"/>
  <c r="J10" i="37"/>
  <c r="K10" i="37" s="1"/>
  <c r="J11" i="37"/>
  <c r="K11" i="37"/>
  <c r="J12" i="37"/>
  <c r="K12" i="37" s="1"/>
  <c r="J13" i="37"/>
  <c r="K13" i="37"/>
  <c r="C14" i="37"/>
  <c r="D14" i="37"/>
  <c r="E14" i="37"/>
  <c r="F14" i="37"/>
  <c r="G14" i="37"/>
  <c r="H14" i="37"/>
  <c r="I14" i="37"/>
  <c r="L14" i="37"/>
  <c r="M14" i="37"/>
  <c r="J15" i="37"/>
  <c r="K15" i="37"/>
  <c r="J16" i="37"/>
  <c r="K16" i="37"/>
  <c r="J17" i="37"/>
  <c r="K17" i="37"/>
  <c r="C18" i="37"/>
  <c r="D18" i="37"/>
  <c r="E18" i="37"/>
  <c r="F18" i="37"/>
  <c r="G18" i="37"/>
  <c r="H18" i="37"/>
  <c r="I18" i="37"/>
  <c r="L18" i="37"/>
  <c r="L42" i="15" s="1"/>
  <c r="M18" i="37"/>
  <c r="J19" i="37"/>
  <c r="K19" i="37" s="1"/>
  <c r="J20" i="37"/>
  <c r="K20" i="37"/>
  <c r="J21" i="37"/>
  <c r="K21" i="37" s="1"/>
  <c r="J22" i="37"/>
  <c r="K22" i="37"/>
  <c r="J23" i="37"/>
  <c r="K23" i="37" s="1"/>
  <c r="J24" i="37"/>
  <c r="K24" i="37"/>
  <c r="J25" i="37"/>
  <c r="K25" i="37" s="1"/>
  <c r="J26" i="37"/>
  <c r="K26" i="37"/>
  <c r="J27" i="37"/>
  <c r="K27" i="37" s="1"/>
  <c r="C28" i="37"/>
  <c r="D28" i="37"/>
  <c r="E28" i="37"/>
  <c r="F28" i="37"/>
  <c r="G28" i="37"/>
  <c r="H28" i="37"/>
  <c r="I28" i="37"/>
  <c r="L28" i="37"/>
  <c r="M28" i="37"/>
  <c r="J29" i="37"/>
  <c r="K29" i="37"/>
  <c r="J30" i="37"/>
  <c r="K30" i="37" s="1"/>
  <c r="J31" i="37"/>
  <c r="K31" i="37"/>
  <c r="J32" i="37"/>
  <c r="K32" i="37" s="1"/>
  <c r="J33" i="37"/>
  <c r="K33" i="37"/>
  <c r="J34" i="37"/>
  <c r="K34" i="37" s="1"/>
  <c r="J35" i="37"/>
  <c r="K35" i="37"/>
  <c r="J36" i="37"/>
  <c r="K36" i="37" s="1"/>
  <c r="J37" i="37"/>
  <c r="K37" i="37"/>
  <c r="J38" i="37"/>
  <c r="K38" i="37" s="1"/>
  <c r="C39" i="37"/>
  <c r="D39" i="37"/>
  <c r="E39" i="37"/>
  <c r="F39" i="37"/>
  <c r="G39" i="37"/>
  <c r="H39" i="37"/>
  <c r="I39" i="37"/>
  <c r="L39" i="37"/>
  <c r="M39" i="37"/>
  <c r="J40" i="37"/>
  <c r="K40" i="37"/>
  <c r="J41" i="37"/>
  <c r="K41" i="37"/>
  <c r="J42" i="37"/>
  <c r="K42" i="37"/>
  <c r="J43" i="37"/>
  <c r="K43" i="37"/>
  <c r="J44" i="37"/>
  <c r="K44" i="37"/>
  <c r="J45" i="37"/>
  <c r="K45" i="37"/>
  <c r="C46" i="37"/>
  <c r="D46" i="37"/>
  <c r="E46" i="37"/>
  <c r="F46" i="37"/>
  <c r="G46" i="37"/>
  <c r="H46" i="37"/>
  <c r="I46" i="37"/>
  <c r="L46" i="37"/>
  <c r="M46" i="37"/>
  <c r="J47" i="37"/>
  <c r="K47" i="37"/>
  <c r="J48" i="37"/>
  <c r="K48" i="37"/>
  <c r="J49" i="37"/>
  <c r="K49" i="37"/>
  <c r="J50" i="37"/>
  <c r="K50" i="37"/>
  <c r="J51" i="37"/>
  <c r="K51" i="37"/>
  <c r="J52" i="37"/>
  <c r="K52" i="37"/>
  <c r="J53" i="37"/>
  <c r="K53" i="37"/>
  <c r="C54" i="37"/>
  <c r="D54" i="37"/>
  <c r="E54" i="37"/>
  <c r="F54" i="37"/>
  <c r="G54" i="37"/>
  <c r="H54" i="37"/>
  <c r="I54" i="37"/>
  <c r="L54" i="37"/>
  <c r="M54" i="37"/>
  <c r="J55" i="37"/>
  <c r="K55" i="37" s="1"/>
  <c r="J56" i="37"/>
  <c r="K56" i="37"/>
  <c r="J57" i="37"/>
  <c r="K57" i="37" s="1"/>
  <c r="J58" i="37"/>
  <c r="K58" i="37"/>
  <c r="J59" i="37"/>
  <c r="K59" i="37" s="1"/>
  <c r="J60" i="37"/>
  <c r="K60" i="37"/>
  <c r="J61" i="37"/>
  <c r="K61" i="37" s="1"/>
  <c r="J62" i="37"/>
  <c r="K62" i="37"/>
  <c r="J63" i="37"/>
  <c r="K63" i="37" s="1"/>
  <c r="C64" i="37"/>
  <c r="D64" i="37"/>
  <c r="E64" i="37"/>
  <c r="F64" i="37"/>
  <c r="G64" i="37"/>
  <c r="H64" i="37"/>
  <c r="I64" i="37"/>
  <c r="L64" i="37"/>
  <c r="M64" i="37"/>
  <c r="J65" i="37"/>
  <c r="K65" i="37"/>
  <c r="J66" i="37"/>
  <c r="K66" i="37" s="1"/>
  <c r="J67" i="37"/>
  <c r="K67" i="37"/>
  <c r="J68" i="37"/>
  <c r="K68" i="37" s="1"/>
  <c r="J69" i="37"/>
  <c r="K69" i="37"/>
  <c r="C70" i="37"/>
  <c r="D70" i="37"/>
  <c r="E70" i="37"/>
  <c r="F70" i="37"/>
  <c r="J70" i="37"/>
  <c r="G70" i="37"/>
  <c r="H70" i="37"/>
  <c r="I70" i="37"/>
  <c r="L70" i="37"/>
  <c r="M70" i="37"/>
  <c r="J71" i="37"/>
  <c r="K71" i="37"/>
  <c r="J72" i="37"/>
  <c r="K72" i="37" s="1"/>
  <c r="J73" i="37"/>
  <c r="K73" i="37"/>
  <c r="J74" i="37"/>
  <c r="K74" i="37" s="1"/>
  <c r="C77" i="37"/>
  <c r="D77" i="37"/>
  <c r="E77" i="37"/>
  <c r="E76" i="37" s="1"/>
  <c r="F77" i="37"/>
  <c r="G77" i="37"/>
  <c r="G76" i="37"/>
  <c r="H77" i="37"/>
  <c r="I77" i="37"/>
  <c r="L77" i="37"/>
  <c r="L76" i="37" s="1"/>
  <c r="M77" i="37"/>
  <c r="J78" i="37"/>
  <c r="K78" i="37" s="1"/>
  <c r="J79" i="37"/>
  <c r="K79" i="37"/>
  <c r="J80" i="37"/>
  <c r="K80" i="37" s="1"/>
  <c r="J81" i="37"/>
  <c r="K81" i="37"/>
  <c r="J82" i="37"/>
  <c r="K82" i="37" s="1"/>
  <c r="J83" i="37"/>
  <c r="K83" i="37"/>
  <c r="J84" i="37"/>
  <c r="K84" i="37" s="1"/>
  <c r="J85" i="37"/>
  <c r="K85" i="37"/>
  <c r="J86" i="37"/>
  <c r="K86" i="37" s="1"/>
  <c r="J87" i="37"/>
  <c r="K87" i="37"/>
  <c r="J88" i="37"/>
  <c r="K88" i="37" s="1"/>
  <c r="J89" i="37"/>
  <c r="K89" i="37"/>
  <c r="J90" i="37"/>
  <c r="K90" i="37" s="1"/>
  <c r="J91" i="37"/>
  <c r="K91" i="37"/>
  <c r="J92" i="37"/>
  <c r="K92" i="37" s="1"/>
  <c r="J93" i="37"/>
  <c r="K93" i="37"/>
  <c r="J94" i="37"/>
  <c r="K94" i="37" s="1"/>
  <c r="J95" i="37"/>
  <c r="K95" i="37"/>
  <c r="J96" i="37"/>
  <c r="K96" i="37" s="1"/>
  <c r="J97" i="37"/>
  <c r="K97" i="37"/>
  <c r="J98" i="37"/>
  <c r="K98" i="37" s="1"/>
  <c r="J99" i="37"/>
  <c r="K99" i="37"/>
  <c r="C100" i="37"/>
  <c r="C76" i="37" s="1"/>
  <c r="D100" i="37"/>
  <c r="E100" i="37"/>
  <c r="F100" i="37"/>
  <c r="F76" i="37"/>
  <c r="G100" i="37"/>
  <c r="H100" i="37"/>
  <c r="H76" i="37"/>
  <c r="I100" i="37"/>
  <c r="I76" i="37" s="1"/>
  <c r="L100" i="37"/>
  <c r="M100" i="37"/>
  <c r="M76" i="37"/>
  <c r="J101" i="37"/>
  <c r="K101" i="37" s="1"/>
  <c r="J102" i="37"/>
  <c r="K102" i="37"/>
  <c r="J103" i="37"/>
  <c r="K103" i="37" s="1"/>
  <c r="C105" i="37"/>
  <c r="D105" i="37"/>
  <c r="E105" i="37"/>
  <c r="F105" i="37"/>
  <c r="G105" i="37"/>
  <c r="H105" i="37"/>
  <c r="I105" i="37"/>
  <c r="L105" i="37"/>
  <c r="M105" i="37"/>
  <c r="J106" i="37"/>
  <c r="K106" i="37" s="1"/>
  <c r="J107" i="37"/>
  <c r="K107" i="37"/>
  <c r="J108" i="37"/>
  <c r="K108" i="37" s="1"/>
  <c r="J109" i="37"/>
  <c r="K109" i="37"/>
  <c r="J110" i="37"/>
  <c r="K110" i="37" s="1"/>
  <c r="C113" i="37"/>
  <c r="D113" i="37"/>
  <c r="E113" i="37"/>
  <c r="F113" i="37"/>
  <c r="F112" i="37" s="1"/>
  <c r="G113" i="37"/>
  <c r="G112" i="37" s="1"/>
  <c r="H113" i="37"/>
  <c r="I113" i="37"/>
  <c r="I112" i="37"/>
  <c r="L113" i="37"/>
  <c r="M113" i="37"/>
  <c r="J114" i="37"/>
  <c r="K114" i="37"/>
  <c r="J115" i="37"/>
  <c r="K115" i="37"/>
  <c r="C116" i="37"/>
  <c r="C112" i="37" s="1"/>
  <c r="D116" i="37"/>
  <c r="E116" i="37"/>
  <c r="E112" i="37" s="1"/>
  <c r="F116" i="37"/>
  <c r="G116" i="37"/>
  <c r="H116" i="37"/>
  <c r="I116" i="37"/>
  <c r="L116" i="37"/>
  <c r="L112" i="37" s="1"/>
  <c r="M116" i="37"/>
  <c r="M112" i="37"/>
  <c r="J117" i="37"/>
  <c r="K117" i="37" s="1"/>
  <c r="J118" i="37"/>
  <c r="K118" i="37"/>
  <c r="C121" i="37"/>
  <c r="D121" i="37"/>
  <c r="E121" i="37"/>
  <c r="F121" i="37"/>
  <c r="F120" i="37" s="1"/>
  <c r="G121" i="37"/>
  <c r="H121" i="37"/>
  <c r="H120" i="37" s="1"/>
  <c r="I121" i="37"/>
  <c r="I120" i="37" s="1"/>
  <c r="L121" i="37"/>
  <c r="L120" i="37"/>
  <c r="M121" i="37"/>
  <c r="M120" i="37"/>
  <c r="J122" i="37"/>
  <c r="K122" i="37"/>
  <c r="J123" i="37"/>
  <c r="K123" i="37"/>
  <c r="J124" i="37"/>
  <c r="K124" i="37"/>
  <c r="J125" i="37"/>
  <c r="K125" i="37"/>
  <c r="J126" i="37"/>
  <c r="K126" i="37"/>
  <c r="J127" i="37"/>
  <c r="K127" i="37"/>
  <c r="J128" i="37"/>
  <c r="K128" i="37"/>
  <c r="J129" i="37"/>
  <c r="K129" i="37"/>
  <c r="J130" i="37"/>
  <c r="K130" i="37"/>
  <c r="J131" i="37"/>
  <c r="K131" i="37"/>
  <c r="J132" i="37"/>
  <c r="K132" i="37"/>
  <c r="C133" i="37"/>
  <c r="C120" i="37"/>
  <c r="D133" i="37"/>
  <c r="E133" i="37"/>
  <c r="F133" i="37"/>
  <c r="G133" i="37"/>
  <c r="G120" i="37" s="1"/>
  <c r="H133" i="37"/>
  <c r="I133" i="37"/>
  <c r="L133" i="37"/>
  <c r="M133" i="37"/>
  <c r="J134" i="37"/>
  <c r="K134" i="37"/>
  <c r="J135" i="37"/>
  <c r="K135" i="37"/>
  <c r="J136" i="37"/>
  <c r="K136" i="37"/>
  <c r="C138" i="37"/>
  <c r="D138" i="37"/>
  <c r="E138" i="37"/>
  <c r="F138" i="37"/>
  <c r="G138" i="37"/>
  <c r="H138" i="37"/>
  <c r="I138" i="37"/>
  <c r="L138" i="37"/>
  <c r="M138" i="37"/>
  <c r="J139" i="37"/>
  <c r="K139" i="37"/>
  <c r="J142" i="37"/>
  <c r="K142" i="37" s="1"/>
  <c r="C143" i="37"/>
  <c r="C141" i="37"/>
  <c r="D143" i="37"/>
  <c r="D141" i="37" s="1"/>
  <c r="E143" i="37"/>
  <c r="E141" i="37"/>
  <c r="J141" i="37" s="1"/>
  <c r="F143" i="37"/>
  <c r="F141" i="37"/>
  <c r="G143" i="37"/>
  <c r="G141" i="37" s="1"/>
  <c r="H143" i="37"/>
  <c r="H141" i="37"/>
  <c r="I143" i="37"/>
  <c r="I141" i="37" s="1"/>
  <c r="L143" i="37"/>
  <c r="L141" i="37"/>
  <c r="M143" i="37"/>
  <c r="M141" i="37" s="1"/>
  <c r="J144" i="37"/>
  <c r="K144" i="37"/>
  <c r="J145" i="37"/>
  <c r="K145" i="37" s="1"/>
  <c r="J146" i="37"/>
  <c r="K146" i="37"/>
  <c r="J147" i="37"/>
  <c r="K147" i="37" s="1"/>
  <c r="J148" i="37"/>
  <c r="K148" i="37"/>
  <c r="J149" i="37"/>
  <c r="K149" i="37" s="1"/>
  <c r="C151" i="37"/>
  <c r="D151" i="37"/>
  <c r="E151" i="37"/>
  <c r="F151" i="37"/>
  <c r="G151" i="37"/>
  <c r="H151" i="37"/>
  <c r="I151" i="37"/>
  <c r="L151" i="37"/>
  <c r="M151" i="37"/>
  <c r="J152" i="37"/>
  <c r="J151" i="37"/>
  <c r="K152" i="37"/>
  <c r="K151" i="37" s="1"/>
  <c r="C154" i="37"/>
  <c r="D154" i="37"/>
  <c r="E154" i="37"/>
  <c r="F154" i="37"/>
  <c r="G154" i="37"/>
  <c r="H154" i="37"/>
  <c r="I154" i="37"/>
  <c r="L154" i="37"/>
  <c r="M154" i="37"/>
  <c r="J155" i="37"/>
  <c r="K155" i="37" s="1"/>
  <c r="C157" i="37"/>
  <c r="D157" i="37"/>
  <c r="E157" i="37"/>
  <c r="F157" i="37"/>
  <c r="G157" i="37"/>
  <c r="H157" i="37"/>
  <c r="I157" i="37"/>
  <c r="J157" i="37" s="1"/>
  <c r="L157" i="37"/>
  <c r="M157" i="37"/>
  <c r="J158" i="37"/>
  <c r="K158" i="37"/>
  <c r="C160" i="37"/>
  <c r="D160" i="37"/>
  <c r="E160" i="37"/>
  <c r="F160" i="37"/>
  <c r="G160" i="37"/>
  <c r="H160" i="37"/>
  <c r="I160" i="37"/>
  <c r="L160" i="37"/>
  <c r="M160" i="37"/>
  <c r="J161" i="37"/>
  <c r="K161" i="37" s="1"/>
  <c r="C163" i="37"/>
  <c r="D163" i="37"/>
  <c r="E163" i="37"/>
  <c r="F163" i="37"/>
  <c r="G163" i="37"/>
  <c r="H163" i="37"/>
  <c r="I163" i="37"/>
  <c r="L163" i="37"/>
  <c r="M163" i="37"/>
  <c r="J164" i="37"/>
  <c r="K164" i="37" s="1"/>
  <c r="C166" i="37"/>
  <c r="D166" i="37"/>
  <c r="E166" i="37"/>
  <c r="J166" i="37" s="1"/>
  <c r="K166" i="37" s="1"/>
  <c r="F166" i="37"/>
  <c r="G166" i="37"/>
  <c r="H166" i="37"/>
  <c r="I166" i="37"/>
  <c r="L166" i="37"/>
  <c r="M166" i="37"/>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J76" i="16" s="1"/>
  <c r="K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C81" i="16" s="1"/>
  <c r="B62" i="7" s="1"/>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J51" i="16" s="1"/>
  <c r="D51" i="16"/>
  <c r="C51" i="16"/>
  <c r="J33" i="17"/>
  <c r="K33" i="17" s="1"/>
  <c r="J32" i="17"/>
  <c r="K32" i="17" s="1"/>
  <c r="J26" i="17"/>
  <c r="K26" i="17" s="1"/>
  <c r="J20" i="17"/>
  <c r="K20" i="17"/>
  <c r="M34" i="17"/>
  <c r="M35" i="17" s="1"/>
  <c r="M11" i="10" s="1"/>
  <c r="L34" i="17"/>
  <c r="L35" i="17" s="1"/>
  <c r="L11" i="10" s="1"/>
  <c r="Q10" i="30" s="1"/>
  <c r="I34" i="17"/>
  <c r="I60" i="16" s="1"/>
  <c r="H34" i="17"/>
  <c r="H35" i="17" s="1"/>
  <c r="H11" i="10" s="1"/>
  <c r="G34" i="17"/>
  <c r="G60" i="16"/>
  <c r="F34" i="17"/>
  <c r="F35" i="17" s="1"/>
  <c r="F11" i="10" s="1"/>
  <c r="E34" i="17"/>
  <c r="E60" i="16"/>
  <c r="D34" i="17"/>
  <c r="D60" i="16" s="1"/>
  <c r="D35" i="17"/>
  <c r="D11" i="10" s="1"/>
  <c r="C34" i="17"/>
  <c r="M27" i="17"/>
  <c r="M28" i="17"/>
  <c r="M10" i="10" s="1"/>
  <c r="R9" i="30" s="1"/>
  <c r="L27" i="17"/>
  <c r="L28" i="17"/>
  <c r="L10" i="10" s="1"/>
  <c r="Q9" i="30" s="1"/>
  <c r="I27" i="17"/>
  <c r="I58" i="16"/>
  <c r="H27" i="17"/>
  <c r="G27" i="17"/>
  <c r="G28" i="17" s="1"/>
  <c r="G10" i="10" s="1"/>
  <c r="F27" i="17"/>
  <c r="F58" i="16" s="1"/>
  <c r="F28" i="17"/>
  <c r="F10" i="10" s="1"/>
  <c r="E27" i="17"/>
  <c r="E58" i="16"/>
  <c r="D27" i="17"/>
  <c r="D58" i="16" s="1"/>
  <c r="C27" i="17"/>
  <c r="C28" i="17" s="1"/>
  <c r="C10" i="10" s="1"/>
  <c r="M21" i="17"/>
  <c r="M22" i="17" s="1"/>
  <c r="M9" i="10" s="1"/>
  <c r="R8" i="30" s="1"/>
  <c r="M57" i="16"/>
  <c r="L21" i="17"/>
  <c r="L57" i="16" s="1"/>
  <c r="I21" i="17"/>
  <c r="I57" i="16" s="1"/>
  <c r="H21" i="17"/>
  <c r="H57" i="16" s="1"/>
  <c r="G21" i="17"/>
  <c r="F21" i="17"/>
  <c r="F57" i="16"/>
  <c r="E21" i="17"/>
  <c r="D21" i="17"/>
  <c r="D57" i="16" s="1"/>
  <c r="C21" i="17"/>
  <c r="C57" i="16" s="1"/>
  <c r="L22" i="17"/>
  <c r="L9" i="10" s="1"/>
  <c r="Q8" i="30" s="1"/>
  <c r="F22" i="17"/>
  <c r="F9" i="10"/>
  <c r="E22" i="17"/>
  <c r="D22" i="17"/>
  <c r="D9" i="10" s="1"/>
  <c r="O296" i="21"/>
  <c r="N296" i="21"/>
  <c r="K296" i="21"/>
  <c r="J296" i="21"/>
  <c r="I296" i="21"/>
  <c r="H296" i="21"/>
  <c r="G296" i="21"/>
  <c r="F296" i="21"/>
  <c r="E296" i="21"/>
  <c r="L295" i="21"/>
  <c r="M295" i="21" s="1"/>
  <c r="L294" i="21"/>
  <c r="M294" i="21"/>
  <c r="L293" i="21"/>
  <c r="M293" i="21" s="1"/>
  <c r="L292" i="21"/>
  <c r="M292" i="21"/>
  <c r="L291" i="21"/>
  <c r="M291" i="21" s="1"/>
  <c r="L290" i="21"/>
  <c r="M290" i="21"/>
  <c r="L289" i="21"/>
  <c r="M289" i="21" s="1"/>
  <c r="L288" i="21"/>
  <c r="M288" i="21"/>
  <c r="L287" i="21"/>
  <c r="M287" i="21" s="1"/>
  <c r="L286" i="21"/>
  <c r="M286" i="21"/>
  <c r="O284" i="21"/>
  <c r="N284" i="21"/>
  <c r="K284" i="21"/>
  <c r="J284" i="21"/>
  <c r="I284" i="21"/>
  <c r="H284" i="21"/>
  <c r="G284" i="21"/>
  <c r="F284" i="21"/>
  <c r="E284" i="21"/>
  <c r="L283" i="21"/>
  <c r="M283" i="21"/>
  <c r="L282" i="21"/>
  <c r="M282" i="21" s="1"/>
  <c r="L281" i="21"/>
  <c r="M281" i="21"/>
  <c r="L280" i="21"/>
  <c r="M280" i="21" s="1"/>
  <c r="L279" i="21"/>
  <c r="M279" i="21"/>
  <c r="L278" i="21"/>
  <c r="M278" i="21" s="1"/>
  <c r="L277" i="21"/>
  <c r="M277" i="21"/>
  <c r="L276" i="21"/>
  <c r="L275" i="21"/>
  <c r="M275" i="21"/>
  <c r="L274" i="21"/>
  <c r="M274" i="21" s="1"/>
  <c r="O272" i="21"/>
  <c r="N272" i="21"/>
  <c r="K272" i="21"/>
  <c r="J272" i="21"/>
  <c r="I272" i="21"/>
  <c r="H272" i="21"/>
  <c r="G272" i="21"/>
  <c r="F272" i="21"/>
  <c r="E272" i="21"/>
  <c r="L271" i="21"/>
  <c r="M271" i="21"/>
  <c r="L270" i="21"/>
  <c r="M270" i="21" s="1"/>
  <c r="L269" i="21"/>
  <c r="M269" i="21"/>
  <c r="L268" i="21"/>
  <c r="M268" i="21" s="1"/>
  <c r="L267" i="21"/>
  <c r="M267" i="21"/>
  <c r="L265" i="21"/>
  <c r="M265" i="21" s="1"/>
  <c r="L264" i="21"/>
  <c r="M264" i="21"/>
  <c r="L263" i="21"/>
  <c r="M263" i="21" s="1"/>
  <c r="L262" i="21"/>
  <c r="M262" i="21"/>
  <c r="L259" i="21"/>
  <c r="M259" i="21" s="1"/>
  <c r="L258" i="21"/>
  <c r="M258" i="21"/>
  <c r="L257" i="21"/>
  <c r="M257" i="21" s="1"/>
  <c r="L256" i="21"/>
  <c r="M256" i="21"/>
  <c r="L255" i="21"/>
  <c r="M255" i="21" s="1"/>
  <c r="L254" i="21"/>
  <c r="L253" i="21"/>
  <c r="M253" i="21" s="1"/>
  <c r="L252" i="21"/>
  <c r="M252" i="21"/>
  <c r="L251" i="21"/>
  <c r="M251" i="21" s="1"/>
  <c r="N260" i="21"/>
  <c r="O260" i="21"/>
  <c r="O248" i="21"/>
  <c r="N248" i="21"/>
  <c r="M248" i="21"/>
  <c r="L248" i="21"/>
  <c r="K248" i="21"/>
  <c r="J248" i="21"/>
  <c r="I248" i="21"/>
  <c r="H248" i="21"/>
  <c r="G248" i="21"/>
  <c r="F248" i="21"/>
  <c r="E248" i="21"/>
  <c r="M15" i="17"/>
  <c r="M59" i="16" s="1"/>
  <c r="L15" i="17"/>
  <c r="L59" i="16" s="1"/>
  <c r="I15" i="17"/>
  <c r="I59" i="16" s="1"/>
  <c r="H15" i="17"/>
  <c r="H59" i="16" s="1"/>
  <c r="G15" i="17"/>
  <c r="G16" i="17"/>
  <c r="G8" i="10" s="1"/>
  <c r="F15" i="17"/>
  <c r="F59" i="16" s="1"/>
  <c r="E15" i="17"/>
  <c r="E16" i="17" s="1"/>
  <c r="E8" i="10" s="1"/>
  <c r="D15" i="17"/>
  <c r="D59" i="16"/>
  <c r="C15" i="17"/>
  <c r="C16" i="17"/>
  <c r="K260" i="21"/>
  <c r="J260" i="21"/>
  <c r="I260" i="21"/>
  <c r="H260" i="21"/>
  <c r="G260" i="21"/>
  <c r="F260" i="21"/>
  <c r="J247" i="46"/>
  <c r="K247" i="46"/>
  <c r="J246" i="46"/>
  <c r="K246" i="46"/>
  <c r="J245" i="46"/>
  <c r="K245" i="46"/>
  <c r="J244" i="46"/>
  <c r="K244" i="46"/>
  <c r="J243" i="46"/>
  <c r="K243" i="46"/>
  <c r="J242" i="46"/>
  <c r="K242" i="46"/>
  <c r="J240" i="46"/>
  <c r="K240" i="46"/>
  <c r="J239" i="46"/>
  <c r="K239" i="46"/>
  <c r="J238" i="46"/>
  <c r="K238" i="46"/>
  <c r="J237" i="46"/>
  <c r="K237" i="46"/>
  <c r="J235" i="46"/>
  <c r="K235" i="46"/>
  <c r="J234" i="46"/>
  <c r="K234" i="46"/>
  <c r="J233" i="46"/>
  <c r="K233" i="46"/>
  <c r="J232" i="46"/>
  <c r="K232" i="46"/>
  <c r="J230" i="46"/>
  <c r="K230" i="46"/>
  <c r="J229" i="46"/>
  <c r="K229" i="46"/>
  <c r="J228" i="46"/>
  <c r="K228" i="46"/>
  <c r="J226" i="46"/>
  <c r="K226" i="46"/>
  <c r="J225" i="46"/>
  <c r="K225" i="46"/>
  <c r="J224" i="46"/>
  <c r="K224" i="46" s="1"/>
  <c r="J221" i="46"/>
  <c r="K221" i="46"/>
  <c r="J220" i="46"/>
  <c r="K220" i="46"/>
  <c r="J219" i="46"/>
  <c r="K219" i="46"/>
  <c r="J218" i="46"/>
  <c r="K218" i="46"/>
  <c r="J217" i="46"/>
  <c r="K217" i="46"/>
  <c r="J216" i="46"/>
  <c r="K216" i="46"/>
  <c r="J214" i="46"/>
  <c r="K214" i="46"/>
  <c r="J213" i="46"/>
  <c r="K213" i="46" s="1"/>
  <c r="J212" i="46"/>
  <c r="K212" i="46"/>
  <c r="J211" i="46"/>
  <c r="K211" i="46"/>
  <c r="J209" i="46"/>
  <c r="K209" i="46"/>
  <c r="J208" i="46"/>
  <c r="K208" i="46"/>
  <c r="J207" i="46"/>
  <c r="K207" i="46"/>
  <c r="J206" i="46"/>
  <c r="K206" i="46"/>
  <c r="J205" i="46"/>
  <c r="K205" i="46" s="1"/>
  <c r="J204" i="46"/>
  <c r="K204" i="46" s="1"/>
  <c r="J203" i="46"/>
  <c r="K203" i="46"/>
  <c r="J202" i="46"/>
  <c r="K202" i="46"/>
  <c r="J201" i="46"/>
  <c r="K201" i="46"/>
  <c r="J200" i="46"/>
  <c r="K200" i="46"/>
  <c r="J197" i="46"/>
  <c r="K197" i="46"/>
  <c r="J196" i="46"/>
  <c r="K196" i="46"/>
  <c r="J195" i="46"/>
  <c r="K195" i="46"/>
  <c r="J194" i="46"/>
  <c r="K194" i="46"/>
  <c r="J193" i="46"/>
  <c r="K193" i="46"/>
  <c r="J192" i="46"/>
  <c r="K192" i="46"/>
  <c r="J191" i="46"/>
  <c r="K191" i="46"/>
  <c r="J189" i="46"/>
  <c r="K189" i="46"/>
  <c r="J188" i="46"/>
  <c r="K188" i="46"/>
  <c r="J186" i="46"/>
  <c r="K186" i="46"/>
  <c r="J183" i="46"/>
  <c r="K183" i="46"/>
  <c r="J182" i="46"/>
  <c r="K182" i="46"/>
  <c r="J181" i="46"/>
  <c r="K181" i="46"/>
  <c r="J180" i="46"/>
  <c r="K180" i="46"/>
  <c r="J179" i="46"/>
  <c r="K179" i="46"/>
  <c r="J177" i="46"/>
  <c r="K177" i="46"/>
  <c r="J176" i="46"/>
  <c r="K176" i="46"/>
  <c r="J175" i="46"/>
  <c r="K175" i="46"/>
  <c r="J174" i="46"/>
  <c r="K174" i="46"/>
  <c r="J173" i="46"/>
  <c r="K173" i="46"/>
  <c r="J171" i="46"/>
  <c r="K171" i="46"/>
  <c r="J170" i="46"/>
  <c r="K170" i="46"/>
  <c r="J169" i="46"/>
  <c r="K169" i="46"/>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4" i="46"/>
  <c r="K154" i="46"/>
  <c r="J153" i="46"/>
  <c r="K153" i="46"/>
  <c r="J152" i="46"/>
  <c r="K152" i="46"/>
  <c r="J151" i="46"/>
  <c r="K151" i="46"/>
  <c r="J148" i="46"/>
  <c r="K148" i="46"/>
  <c r="J146" i="46"/>
  <c r="K146" i="46"/>
  <c r="J145" i="46"/>
  <c r="K145" i="46"/>
  <c r="J144" i="46"/>
  <c r="K144" i="46"/>
  <c r="J143" i="46"/>
  <c r="K143" i="46"/>
  <c r="J142" i="46"/>
  <c r="K142" i="46"/>
  <c r="J141" i="46"/>
  <c r="K141" i="46"/>
  <c r="J140" i="46"/>
  <c r="K140" i="46"/>
  <c r="J139" i="46"/>
  <c r="K139" i="46"/>
  <c r="J138" i="46"/>
  <c r="K138" i="46"/>
  <c r="J137" i="46"/>
  <c r="K137" i="46" s="1"/>
  <c r="J136" i="46"/>
  <c r="K136" i="46"/>
  <c r="J135" i="46"/>
  <c r="K135" i="46"/>
  <c r="J134" i="46"/>
  <c r="K134" i="46"/>
  <c r="J132" i="46"/>
  <c r="K132" i="46"/>
  <c r="J131" i="46"/>
  <c r="K131" i="46"/>
  <c r="J128" i="46"/>
  <c r="K128" i="46"/>
  <c r="J127" i="46"/>
  <c r="K127" i="46"/>
  <c r="J125" i="46"/>
  <c r="K125" i="46"/>
  <c r="J124" i="46"/>
  <c r="K124" i="46"/>
  <c r="J123" i="46"/>
  <c r="K123" i="46"/>
  <c r="J122" i="46"/>
  <c r="K122" i="46"/>
  <c r="J121" i="46"/>
  <c r="K121" i="46"/>
  <c r="J120" i="46"/>
  <c r="K120" i="46"/>
  <c r="J118" i="46"/>
  <c r="K118" i="46"/>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J167" i="34"/>
  <c r="K167" i="34"/>
  <c r="J164" i="34"/>
  <c r="K164" i="34"/>
  <c r="J161" i="34"/>
  <c r="K161" i="34"/>
  <c r="J158" i="34"/>
  <c r="K158" i="34"/>
  <c r="J155" i="34"/>
  <c r="K155" i="34"/>
  <c r="J152" i="34"/>
  <c r="K152" i="34"/>
  <c r="J149" i="34"/>
  <c r="K149" i="34"/>
  <c r="J148" i="34"/>
  <c r="K148" i="34"/>
  <c r="J147" i="34"/>
  <c r="K147" i="34"/>
  <c r="J146" i="34"/>
  <c r="K146" i="34"/>
  <c r="J145" i="34"/>
  <c r="K145" i="34"/>
  <c r="J144" i="34"/>
  <c r="K144" i="34"/>
  <c r="J142" i="34"/>
  <c r="K142" i="34"/>
  <c r="K29" i="15" s="1"/>
  <c r="J139" i="34"/>
  <c r="K139" i="34" s="1"/>
  <c r="J136" i="34"/>
  <c r="K136" i="34" s="1"/>
  <c r="J135" i="34"/>
  <c r="K135" i="34" s="1"/>
  <c r="K134" i="34"/>
  <c r="J134" i="34"/>
  <c r="J132" i="34"/>
  <c r="K132" i="34" s="1"/>
  <c r="J131" i="34"/>
  <c r="K131" i="34" s="1"/>
  <c r="J130" i="34"/>
  <c r="K130" i="34" s="1"/>
  <c r="J129" i="34"/>
  <c r="K129" i="34" s="1"/>
  <c r="J128" i="34"/>
  <c r="K128" i="34" s="1"/>
  <c r="J127" i="34"/>
  <c r="K127" i="34" s="1"/>
  <c r="K126" i="34"/>
  <c r="J126" i="34"/>
  <c r="J125" i="34"/>
  <c r="K125" i="34" s="1"/>
  <c r="J124" i="34"/>
  <c r="K124" i="34" s="1"/>
  <c r="J123" i="34"/>
  <c r="K123" i="34" s="1"/>
  <c r="J122" i="34"/>
  <c r="K122" i="34" s="1"/>
  <c r="J118" i="34"/>
  <c r="K118" i="34" s="1"/>
  <c r="J117" i="34"/>
  <c r="K117" i="34" s="1"/>
  <c r="J115" i="34"/>
  <c r="K115" i="34" s="1"/>
  <c r="J114" i="34"/>
  <c r="K114" i="34" s="1"/>
  <c r="J110" i="34"/>
  <c r="K110" i="34" s="1"/>
  <c r="J109" i="34"/>
  <c r="K109" i="34" s="1"/>
  <c r="J108" i="34"/>
  <c r="K108" i="34" s="1"/>
  <c r="J107" i="34"/>
  <c r="K107" i="34" s="1"/>
  <c r="J106" i="34"/>
  <c r="K106" i="34" s="1"/>
  <c r="J103" i="34"/>
  <c r="K103" i="34" s="1"/>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s="1"/>
  <c r="J49" i="34"/>
  <c r="K49" i="34"/>
  <c r="J48" i="34"/>
  <c r="K48" i="34" s="1"/>
  <c r="J47" i="34"/>
  <c r="K47" i="34"/>
  <c r="J45" i="34"/>
  <c r="K45" i="34" s="1"/>
  <c r="J44" i="34"/>
  <c r="K44" i="34"/>
  <c r="J43" i="34"/>
  <c r="K43" i="34" s="1"/>
  <c r="J42" i="34"/>
  <c r="K42" i="34"/>
  <c r="J41" i="34"/>
  <c r="K41" i="34" s="1"/>
  <c r="J40" i="34"/>
  <c r="K40" i="34"/>
  <c r="J38" i="34"/>
  <c r="K38" i="34" s="1"/>
  <c r="J37" i="34"/>
  <c r="K37" i="34"/>
  <c r="J36" i="34"/>
  <c r="K36" i="34" s="1"/>
  <c r="J35" i="34"/>
  <c r="K35" i="34"/>
  <c r="J34" i="34"/>
  <c r="K34" i="34" s="1"/>
  <c r="J33" i="34"/>
  <c r="K33" i="34"/>
  <c r="J32" i="34"/>
  <c r="K32" i="34" s="1"/>
  <c r="J31" i="34"/>
  <c r="K31" i="34"/>
  <c r="J30" i="34"/>
  <c r="K30" i="34" s="1"/>
  <c r="J29" i="34"/>
  <c r="K29" i="34"/>
  <c r="J27" i="34"/>
  <c r="K27" i="34" s="1"/>
  <c r="J26" i="34"/>
  <c r="K26" i="34"/>
  <c r="J25" i="34"/>
  <c r="K25" i="34" s="1"/>
  <c r="J24" i="34"/>
  <c r="K24" i="34"/>
  <c r="J23" i="34"/>
  <c r="K23" i="34" s="1"/>
  <c r="J22" i="34"/>
  <c r="K22" i="34"/>
  <c r="J21" i="34"/>
  <c r="K21" i="34" s="1"/>
  <c r="J20" i="34"/>
  <c r="K20" i="34"/>
  <c r="J19" i="34"/>
  <c r="K19" i="34" s="1"/>
  <c r="J17" i="34"/>
  <c r="K17" i="34"/>
  <c r="J16" i="34"/>
  <c r="K16" i="34" s="1"/>
  <c r="J15" i="34"/>
  <c r="K15" i="34"/>
  <c r="J13" i="34"/>
  <c r="K13" i="34" s="1"/>
  <c r="J12" i="34"/>
  <c r="K12" i="34"/>
  <c r="J11" i="34"/>
  <c r="K11" i="34" s="1"/>
  <c r="J10" i="34"/>
  <c r="K10" i="34"/>
  <c r="C86" i="15"/>
  <c r="C87" i="15"/>
  <c r="C143" i="52"/>
  <c r="C141" i="52"/>
  <c r="C121" i="52"/>
  <c r="M113" i="52"/>
  <c r="L113" i="52"/>
  <c r="I113" i="52"/>
  <c r="H113" i="52"/>
  <c r="G113" i="52"/>
  <c r="F113" i="52"/>
  <c r="E113" i="52"/>
  <c r="D113" i="52"/>
  <c r="C116" i="52"/>
  <c r="C113" i="52"/>
  <c r="J167" i="52"/>
  <c r="K167" i="52" s="1"/>
  <c r="J164" i="52"/>
  <c r="K164" i="52"/>
  <c r="J161" i="52"/>
  <c r="K161" i="52" s="1"/>
  <c r="J158" i="52"/>
  <c r="K158" i="52"/>
  <c r="J155" i="52"/>
  <c r="K155" i="52" s="1"/>
  <c r="J152" i="52"/>
  <c r="K152" i="52"/>
  <c r="J149" i="52"/>
  <c r="K149" i="52" s="1"/>
  <c r="J148" i="52"/>
  <c r="K148" i="52"/>
  <c r="J147" i="52"/>
  <c r="K147" i="52" s="1"/>
  <c r="J146" i="52"/>
  <c r="K146" i="52"/>
  <c r="J145" i="52"/>
  <c r="K145" i="52" s="1"/>
  <c r="J144" i="52"/>
  <c r="K144" i="52"/>
  <c r="J142" i="52"/>
  <c r="K142" i="52" s="1"/>
  <c r="J139" i="52"/>
  <c r="K139" i="52"/>
  <c r="J136" i="52"/>
  <c r="K136" i="52" s="1"/>
  <c r="J135" i="52"/>
  <c r="K135" i="52"/>
  <c r="J134" i="52"/>
  <c r="K134" i="52" s="1"/>
  <c r="J132" i="52"/>
  <c r="K132" i="52"/>
  <c r="J131" i="52"/>
  <c r="K131" i="52" s="1"/>
  <c r="J130" i="52"/>
  <c r="K130" i="52"/>
  <c r="J129" i="52"/>
  <c r="K129" i="52" s="1"/>
  <c r="J128" i="52"/>
  <c r="K128" i="52"/>
  <c r="J127" i="52"/>
  <c r="K127" i="52" s="1"/>
  <c r="J126" i="52"/>
  <c r="K126" i="52"/>
  <c r="J125" i="52"/>
  <c r="K125" i="52" s="1"/>
  <c r="J124" i="52"/>
  <c r="K124" i="52"/>
  <c r="J123" i="52"/>
  <c r="K123" i="52" s="1"/>
  <c r="J122" i="52"/>
  <c r="K122" i="52"/>
  <c r="J118" i="52"/>
  <c r="K118" i="52" s="1"/>
  <c r="J117" i="52"/>
  <c r="K117" i="52"/>
  <c r="J115" i="52"/>
  <c r="K115" i="52" s="1"/>
  <c r="J114" i="52"/>
  <c r="K114" i="52"/>
  <c r="J110" i="52"/>
  <c r="K110" i="52" s="1"/>
  <c r="J109" i="52"/>
  <c r="K109" i="52"/>
  <c r="J108" i="52"/>
  <c r="K108" i="52" s="1"/>
  <c r="J107" i="52"/>
  <c r="K107" i="52"/>
  <c r="J106" i="52"/>
  <c r="K106" i="52" s="1"/>
  <c r="J103" i="52"/>
  <c r="K103" i="52"/>
  <c r="J102" i="52"/>
  <c r="K102" i="52" s="1"/>
  <c r="J101" i="52"/>
  <c r="K101" i="52"/>
  <c r="J99" i="52"/>
  <c r="K99" i="52" s="1"/>
  <c r="J98" i="52"/>
  <c r="K98" i="52"/>
  <c r="J97" i="52"/>
  <c r="K97" i="52" s="1"/>
  <c r="J96" i="52"/>
  <c r="K96" i="52"/>
  <c r="J95" i="52"/>
  <c r="K95" i="52" s="1"/>
  <c r="J94" i="52"/>
  <c r="K94" i="52"/>
  <c r="J93" i="52"/>
  <c r="K93" i="52" s="1"/>
  <c r="J92" i="52"/>
  <c r="K92" i="52"/>
  <c r="J91" i="52"/>
  <c r="K91" i="52" s="1"/>
  <c r="J90" i="52"/>
  <c r="K90" i="52"/>
  <c r="J89" i="52"/>
  <c r="K89" i="52" s="1"/>
  <c r="J88" i="52"/>
  <c r="K88" i="52"/>
  <c r="J87" i="52"/>
  <c r="K87" i="52" s="1"/>
  <c r="J86" i="52"/>
  <c r="K86" i="52"/>
  <c r="J85" i="52"/>
  <c r="K85" i="52" s="1"/>
  <c r="J84" i="52"/>
  <c r="K84" i="52"/>
  <c r="J83" i="52"/>
  <c r="K83" i="52" s="1"/>
  <c r="J82" i="52"/>
  <c r="K82" i="52"/>
  <c r="J81" i="52"/>
  <c r="K81" i="52" s="1"/>
  <c r="J80" i="52"/>
  <c r="K80" i="52"/>
  <c r="J79" i="52"/>
  <c r="K79" i="52" s="1"/>
  <c r="J78" i="52"/>
  <c r="K78" i="52"/>
  <c r="J74" i="52"/>
  <c r="K74" i="52" s="1"/>
  <c r="J73" i="52"/>
  <c r="K73" i="52"/>
  <c r="J72" i="52"/>
  <c r="K72" i="52" s="1"/>
  <c r="J71" i="52"/>
  <c r="K71" i="52"/>
  <c r="J69" i="52"/>
  <c r="K69" i="52" s="1"/>
  <c r="J68" i="52"/>
  <c r="K68" i="52"/>
  <c r="J67" i="52"/>
  <c r="K67" i="52" s="1"/>
  <c r="J66" i="52"/>
  <c r="K66" i="52"/>
  <c r="J65" i="52"/>
  <c r="K65" i="52" s="1"/>
  <c r="J63" i="52"/>
  <c r="K63" i="52"/>
  <c r="J62" i="52"/>
  <c r="K62" i="52" s="1"/>
  <c r="J61" i="52"/>
  <c r="K61" i="52"/>
  <c r="J60" i="52"/>
  <c r="K60" i="52" s="1"/>
  <c r="J59" i="52"/>
  <c r="K59" i="52"/>
  <c r="J58" i="52"/>
  <c r="K58" i="52" s="1"/>
  <c r="J57" i="52"/>
  <c r="K57" i="52"/>
  <c r="J56" i="52"/>
  <c r="K56" i="52" s="1"/>
  <c r="J55" i="52"/>
  <c r="K55" i="52"/>
  <c r="J53" i="52"/>
  <c r="K53" i="52" s="1"/>
  <c r="J52" i="52"/>
  <c r="K52" i="52"/>
  <c r="J51" i="52"/>
  <c r="K51" i="52" s="1"/>
  <c r="J50" i="52"/>
  <c r="K50" i="52"/>
  <c r="J49" i="52"/>
  <c r="K49" i="52" s="1"/>
  <c r="J48" i="52"/>
  <c r="K48" i="52"/>
  <c r="J47" i="52"/>
  <c r="K47" i="52" s="1"/>
  <c r="J45" i="52"/>
  <c r="K45" i="52"/>
  <c r="J44" i="52"/>
  <c r="K44" i="52" s="1"/>
  <c r="J43" i="52"/>
  <c r="K43" i="52"/>
  <c r="J42" i="52"/>
  <c r="K42" i="52" s="1"/>
  <c r="J41" i="52"/>
  <c r="K41" i="52"/>
  <c r="J40" i="52"/>
  <c r="K40" i="52" s="1"/>
  <c r="J38" i="52"/>
  <c r="K38" i="52"/>
  <c r="J37" i="52"/>
  <c r="K37" i="52" s="1"/>
  <c r="J36" i="52"/>
  <c r="K36" i="52"/>
  <c r="J35" i="52"/>
  <c r="K35" i="52" s="1"/>
  <c r="J34" i="52"/>
  <c r="K34" i="52"/>
  <c r="J33" i="52"/>
  <c r="K33" i="52" s="1"/>
  <c r="J32" i="52"/>
  <c r="K32" i="52"/>
  <c r="J31" i="52"/>
  <c r="K31" i="52" s="1"/>
  <c r="J30" i="52"/>
  <c r="K30" i="52"/>
  <c r="J29" i="52"/>
  <c r="K29" i="52" s="1"/>
  <c r="J27" i="52"/>
  <c r="K27" i="52"/>
  <c r="J26" i="52"/>
  <c r="K26" i="52" s="1"/>
  <c r="J25" i="52"/>
  <c r="K25" i="52"/>
  <c r="J24" i="52"/>
  <c r="K24" i="52" s="1"/>
  <c r="J23" i="52"/>
  <c r="K23" i="52"/>
  <c r="J22" i="52"/>
  <c r="K22" i="52" s="1"/>
  <c r="J21" i="52"/>
  <c r="K21" i="52"/>
  <c r="J20" i="52"/>
  <c r="K20" i="52" s="1"/>
  <c r="J19" i="52"/>
  <c r="K19" i="52"/>
  <c r="J17" i="52"/>
  <c r="K17" i="52" s="1"/>
  <c r="J16" i="52"/>
  <c r="K16" i="52"/>
  <c r="J15" i="52"/>
  <c r="K15" i="52" s="1"/>
  <c r="J13" i="52"/>
  <c r="K13" i="52"/>
  <c r="J12" i="52"/>
  <c r="K12" i="52" s="1"/>
  <c r="J11" i="52"/>
  <c r="K11" i="52"/>
  <c r="J10" i="52"/>
  <c r="K10" i="52" s="1"/>
  <c r="E100" i="1"/>
  <c r="C116" i="1"/>
  <c r="C187" i="15"/>
  <c r="C113" i="1"/>
  <c r="C143" i="1"/>
  <c r="C141" i="1"/>
  <c r="M121" i="1"/>
  <c r="M189" i="15" s="1"/>
  <c r="L121" i="1"/>
  <c r="L120" i="1" s="1"/>
  <c r="I121" i="1"/>
  <c r="H121" i="1"/>
  <c r="H189" i="15"/>
  <c r="G121" i="1"/>
  <c r="F121" i="1"/>
  <c r="E121" i="1"/>
  <c r="E189" i="15" s="1"/>
  <c r="D121" i="1"/>
  <c r="D189" i="15" s="1"/>
  <c r="C121" i="1"/>
  <c r="J167" i="1"/>
  <c r="K167" i="1"/>
  <c r="J164" i="1"/>
  <c r="K164" i="1" s="1"/>
  <c r="J161" i="1"/>
  <c r="K161" i="1"/>
  <c r="J158" i="1"/>
  <c r="K158" i="1" s="1"/>
  <c r="J155" i="1"/>
  <c r="K155" i="1"/>
  <c r="J152" i="1"/>
  <c r="K152" i="1" s="1"/>
  <c r="J149" i="1"/>
  <c r="K149" i="1"/>
  <c r="J148" i="1"/>
  <c r="K148" i="1" s="1"/>
  <c r="J147" i="1"/>
  <c r="K147" i="1"/>
  <c r="J146" i="1"/>
  <c r="K146" i="1" s="1"/>
  <c r="J145" i="1"/>
  <c r="K145" i="1"/>
  <c r="J144" i="1"/>
  <c r="K144" i="1" s="1"/>
  <c r="J142" i="1"/>
  <c r="K142" i="1"/>
  <c r="K193" i="15"/>
  <c r="J139" i="1"/>
  <c r="K139" i="1" s="1"/>
  <c r="K136" i="1"/>
  <c r="J136" i="1"/>
  <c r="J135" i="1"/>
  <c r="K135" i="1" s="1"/>
  <c r="J134" i="1"/>
  <c r="K134" i="1"/>
  <c r="J132" i="1"/>
  <c r="K132" i="1" s="1"/>
  <c r="J131" i="1"/>
  <c r="K131" i="1"/>
  <c r="J130" i="1"/>
  <c r="K130" i="1" s="1"/>
  <c r="J129" i="1"/>
  <c r="K129" i="1"/>
  <c r="J128" i="1"/>
  <c r="K128" i="1" s="1"/>
  <c r="J127" i="1"/>
  <c r="K127" i="1" s="1"/>
  <c r="J126" i="1"/>
  <c r="K126" i="1" s="1"/>
  <c r="J125" i="1"/>
  <c r="K125" i="1"/>
  <c r="J124" i="1"/>
  <c r="K124" i="1" s="1"/>
  <c r="J123" i="1"/>
  <c r="K123" i="1"/>
  <c r="J122" i="1"/>
  <c r="K122" i="1" s="1"/>
  <c r="J118" i="1"/>
  <c r="K118" i="1"/>
  <c r="J117" i="1"/>
  <c r="K117" i="1" s="1"/>
  <c r="J115" i="1"/>
  <c r="K115" i="1" s="1"/>
  <c r="J114" i="1"/>
  <c r="K114" i="1" s="1"/>
  <c r="J110" i="1"/>
  <c r="K110" i="1"/>
  <c r="J109" i="1"/>
  <c r="K109" i="1" s="1"/>
  <c r="J108" i="1"/>
  <c r="K108" i="1"/>
  <c r="J107" i="1"/>
  <c r="K107" i="1" s="1"/>
  <c r="J106" i="1"/>
  <c r="K106" i="1"/>
  <c r="J103" i="1"/>
  <c r="K103" i="1" s="1"/>
  <c r="J102" i="1"/>
  <c r="K102" i="1" s="1"/>
  <c r="J101" i="1"/>
  <c r="K101" i="1" s="1"/>
  <c r="J99" i="1"/>
  <c r="K99" i="1"/>
  <c r="J98" i="1"/>
  <c r="K98" i="1" s="1"/>
  <c r="J97" i="1"/>
  <c r="K97" i="1"/>
  <c r="J96" i="1"/>
  <c r="K96" i="1" s="1"/>
  <c r="J95" i="1"/>
  <c r="K95" i="1"/>
  <c r="J94" i="1"/>
  <c r="K94" i="1" s="1"/>
  <c r="J93" i="1"/>
  <c r="K93" i="1" s="1"/>
  <c r="J92" i="1"/>
  <c r="K92" i="1" s="1"/>
  <c r="J91" i="1"/>
  <c r="K91" i="1"/>
  <c r="J90" i="1"/>
  <c r="K90" i="1" s="1"/>
  <c r="J89" i="1"/>
  <c r="K89" i="1"/>
  <c r="J88" i="1"/>
  <c r="K88" i="1" s="1"/>
  <c r="J87" i="1"/>
  <c r="K87" i="1"/>
  <c r="J86" i="1"/>
  <c r="K86" i="1" s="1"/>
  <c r="J85" i="1"/>
  <c r="K85" i="1" s="1"/>
  <c r="J84" i="1"/>
  <c r="K84" i="1" s="1"/>
  <c r="J83" i="1"/>
  <c r="K83" i="1"/>
  <c r="J82" i="1"/>
  <c r="K82" i="1" s="1"/>
  <c r="J81" i="1"/>
  <c r="K81" i="1"/>
  <c r="J80" i="1"/>
  <c r="K80" i="1" s="1"/>
  <c r="J79" i="1"/>
  <c r="K79" i="1"/>
  <c r="J78" i="1"/>
  <c r="K78" i="1" s="1"/>
  <c r="J74" i="1"/>
  <c r="K74" i="1" s="1"/>
  <c r="J73" i="1"/>
  <c r="K73" i="1" s="1"/>
  <c r="J72" i="1"/>
  <c r="K72" i="1"/>
  <c r="J71" i="1"/>
  <c r="K71" i="1" s="1"/>
  <c r="J69" i="1"/>
  <c r="K69" i="1"/>
  <c r="J68" i="1"/>
  <c r="K68" i="1" s="1"/>
  <c r="J67" i="1"/>
  <c r="K67" i="1"/>
  <c r="J66" i="1"/>
  <c r="K66" i="1" s="1"/>
  <c r="J65" i="1"/>
  <c r="K65" i="1" s="1"/>
  <c r="J63" i="1"/>
  <c r="K63" i="1" s="1"/>
  <c r="J62" i="1"/>
  <c r="K62" i="1"/>
  <c r="J61" i="1"/>
  <c r="K61" i="1" s="1"/>
  <c r="J60" i="1"/>
  <c r="K60" i="1"/>
  <c r="J59" i="1"/>
  <c r="K59" i="1" s="1"/>
  <c r="J58" i="1"/>
  <c r="K58" i="1"/>
  <c r="J57" i="1"/>
  <c r="K57" i="1" s="1"/>
  <c r="J56" i="1"/>
  <c r="K56" i="1" s="1"/>
  <c r="J55" i="1"/>
  <c r="K55" i="1" s="1"/>
  <c r="J53" i="1"/>
  <c r="K53" i="1"/>
  <c r="J52" i="1"/>
  <c r="K52" i="1" s="1"/>
  <c r="J51" i="1"/>
  <c r="K51" i="1"/>
  <c r="J50" i="1"/>
  <c r="K50" i="1" s="1"/>
  <c r="J49" i="1"/>
  <c r="K49" i="1"/>
  <c r="J48" i="1"/>
  <c r="K48" i="1" s="1"/>
  <c r="J47" i="1"/>
  <c r="K47" i="1" s="1"/>
  <c r="J45" i="1"/>
  <c r="K45" i="1" s="1"/>
  <c r="J44" i="1"/>
  <c r="K44" i="1"/>
  <c r="J43" i="1"/>
  <c r="K43" i="1" s="1"/>
  <c r="J42" i="1"/>
  <c r="K42" i="1"/>
  <c r="J41" i="1"/>
  <c r="K41" i="1" s="1"/>
  <c r="J40" i="1"/>
  <c r="K40" i="1"/>
  <c r="J38" i="1"/>
  <c r="K38" i="1" s="1"/>
  <c r="J37" i="1"/>
  <c r="K37" i="1" s="1"/>
  <c r="J36" i="1"/>
  <c r="K36" i="1" s="1"/>
  <c r="J35" i="1"/>
  <c r="K35" i="1"/>
  <c r="J34" i="1"/>
  <c r="K34" i="1" s="1"/>
  <c r="J33" i="1"/>
  <c r="K33" i="1"/>
  <c r="J32" i="1"/>
  <c r="K32" i="1" s="1"/>
  <c r="J31" i="1"/>
  <c r="K31" i="1"/>
  <c r="J30" i="1"/>
  <c r="K30" i="1" s="1"/>
  <c r="J29" i="1"/>
  <c r="K29" i="1" s="1"/>
  <c r="J27" i="1"/>
  <c r="K27" i="1" s="1"/>
  <c r="J26" i="1"/>
  <c r="K26" i="1"/>
  <c r="J25" i="1"/>
  <c r="K25" i="1" s="1"/>
  <c r="J24" i="1"/>
  <c r="K24" i="1"/>
  <c r="J23" i="1"/>
  <c r="K23" i="1" s="1"/>
  <c r="J22" i="1"/>
  <c r="K22" i="1"/>
  <c r="J21" i="1"/>
  <c r="K21" i="1" s="1"/>
  <c r="J20" i="1"/>
  <c r="K20" i="1" s="1"/>
  <c r="J19" i="1"/>
  <c r="K19" i="1" s="1"/>
  <c r="J17" i="1"/>
  <c r="K17" i="1"/>
  <c r="J16" i="1"/>
  <c r="K16" i="1" s="1"/>
  <c r="J15" i="1"/>
  <c r="K15" i="1"/>
  <c r="J13" i="1"/>
  <c r="K13" i="1" s="1"/>
  <c r="J12" i="1"/>
  <c r="K12" i="1"/>
  <c r="J11" i="1"/>
  <c r="K11" i="1" s="1"/>
  <c r="J10" i="1"/>
  <c r="K10" i="1" s="1"/>
  <c r="M79" i="15"/>
  <c r="I62" i="15"/>
  <c r="L57" i="15"/>
  <c r="C57" i="15"/>
  <c r="J69" i="15"/>
  <c r="K61" i="15"/>
  <c r="G50" i="15"/>
  <c r="D50" i="15"/>
  <c r="D18" i="34"/>
  <c r="M143" i="34"/>
  <c r="M30" i="15"/>
  <c r="M126" i="15" s="1"/>
  <c r="L143" i="34"/>
  <c r="L30" i="15" s="1"/>
  <c r="I143" i="34"/>
  <c r="H143" i="34"/>
  <c r="G143" i="34"/>
  <c r="G30" i="15" s="1"/>
  <c r="F143" i="34"/>
  <c r="F30" i="15" s="1"/>
  <c r="E143" i="34"/>
  <c r="D143" i="34"/>
  <c r="M141" i="34"/>
  <c r="L141" i="34"/>
  <c r="I141" i="34"/>
  <c r="H141" i="34"/>
  <c r="G141" i="34"/>
  <c r="F141" i="34"/>
  <c r="E141" i="34"/>
  <c r="C143" i="34"/>
  <c r="C30" i="15"/>
  <c r="C141" i="34"/>
  <c r="M121" i="34"/>
  <c r="M120" i="34" s="1"/>
  <c r="L121" i="34"/>
  <c r="L25" i="15" s="1"/>
  <c r="I121" i="34"/>
  <c r="I25" i="15" s="1"/>
  <c r="H121" i="34"/>
  <c r="G121" i="34"/>
  <c r="F121" i="34"/>
  <c r="F25" i="15" s="1"/>
  <c r="E121" i="34"/>
  <c r="D121" i="34"/>
  <c r="C121" i="34"/>
  <c r="C25" i="15" s="1"/>
  <c r="C27" i="15" s="1"/>
  <c r="C7" i="15" s="1"/>
  <c r="C116" i="34"/>
  <c r="C113" i="34"/>
  <c r="C112" i="34"/>
  <c r="F93" i="39"/>
  <c r="F89" i="39"/>
  <c r="F69" i="39"/>
  <c r="M193" i="15"/>
  <c r="L193" i="15"/>
  <c r="I193" i="15"/>
  <c r="H193" i="15"/>
  <c r="G193" i="15"/>
  <c r="F193" i="15"/>
  <c r="E193" i="15"/>
  <c r="D193" i="15"/>
  <c r="I189" i="15"/>
  <c r="F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s="1"/>
  <c r="J165" i="15"/>
  <c r="K165" i="15"/>
  <c r="J162" i="15"/>
  <c r="K162" i="15" s="1"/>
  <c r="J161" i="15"/>
  <c r="K161" i="15" s="1"/>
  <c r="J157" i="15"/>
  <c r="K157" i="15"/>
  <c r="J141" i="15"/>
  <c r="K141" i="15" s="1"/>
  <c r="J140" i="15"/>
  <c r="K140" i="15"/>
  <c r="J139" i="15"/>
  <c r="K139" i="15" s="1"/>
  <c r="J138" i="15"/>
  <c r="K138" i="15"/>
  <c r="E101" i="15"/>
  <c r="F99" i="15"/>
  <c r="M96" i="15"/>
  <c r="M93" i="15"/>
  <c r="L93" i="15"/>
  <c r="I93" i="15"/>
  <c r="H93" i="15"/>
  <c r="G93" i="15"/>
  <c r="F93" i="15"/>
  <c r="E93" i="15"/>
  <c r="D93" i="15"/>
  <c r="M89" i="15"/>
  <c r="I89" i="15"/>
  <c r="F89" i="15"/>
  <c r="E89" i="15"/>
  <c r="D89" i="15"/>
  <c r="L87" i="15"/>
  <c r="L83" i="15"/>
  <c r="G83" i="15"/>
  <c r="H82" i="15"/>
  <c r="D82" i="15"/>
  <c r="H76" i="15"/>
  <c r="E75" i="15"/>
  <c r="G74" i="15"/>
  <c r="L73" i="15"/>
  <c r="E73" i="15"/>
  <c r="C100" i="15"/>
  <c r="C94" i="15"/>
  <c r="C93" i="15"/>
  <c r="M68" i="15"/>
  <c r="G65" i="15"/>
  <c r="M62" i="15"/>
  <c r="L62" i="15"/>
  <c r="H62" i="15"/>
  <c r="G62" i="15"/>
  <c r="F62" i="15"/>
  <c r="D62" i="15"/>
  <c r="M61" i="15"/>
  <c r="L61" i="15"/>
  <c r="L63" i="15"/>
  <c r="J61" i="15"/>
  <c r="I61" i="15"/>
  <c r="H61" i="15"/>
  <c r="G61" i="15"/>
  <c r="F61" i="15"/>
  <c r="F63" i="15" s="1"/>
  <c r="E61" i="15"/>
  <c r="D61" i="15"/>
  <c r="F58" i="15"/>
  <c r="M57" i="15"/>
  <c r="I57" i="15"/>
  <c r="F57" i="15"/>
  <c r="F59" i="15" s="1"/>
  <c r="E57" i="15"/>
  <c r="I54" i="15"/>
  <c r="L51" i="15"/>
  <c r="I50" i="15"/>
  <c r="H50" i="15"/>
  <c r="F50" i="15"/>
  <c r="E50" i="15"/>
  <c r="M48" i="15"/>
  <c r="M47" i="15"/>
  <c r="D46" i="15"/>
  <c r="E45" i="15"/>
  <c r="G43" i="15"/>
  <c r="G42" i="15"/>
  <c r="H41" i="15"/>
  <c r="I40" i="15"/>
  <c r="I49" i="15" s="1"/>
  <c r="C62" i="15"/>
  <c r="C61" i="15"/>
  <c r="C55" i="15"/>
  <c r="C54" i="15"/>
  <c r="C56" i="15" s="1"/>
  <c r="I30" i="15"/>
  <c r="H30" i="15"/>
  <c r="E30" i="15"/>
  <c r="D30" i="15"/>
  <c r="M29" i="15"/>
  <c r="L29" i="15"/>
  <c r="J29" i="15"/>
  <c r="I29" i="15"/>
  <c r="H29" i="15"/>
  <c r="G29" i="15"/>
  <c r="F29" i="15"/>
  <c r="E29" i="15"/>
  <c r="D29" i="15"/>
  <c r="H25" i="15"/>
  <c r="G25" i="15"/>
  <c r="E25" i="15"/>
  <c r="E121" i="15" s="1"/>
  <c r="D25" i="15"/>
  <c r="D10"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M97"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L79" i="15"/>
  <c r="I79" i="15"/>
  <c r="G79" i="15"/>
  <c r="F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I106" i="15" s="1"/>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J166" i="52" s="1"/>
  <c r="D166" i="52"/>
  <c r="C166" i="52"/>
  <c r="M163" i="52"/>
  <c r="L163" i="52"/>
  <c r="I163" i="52"/>
  <c r="H163" i="52"/>
  <c r="G163" i="52"/>
  <c r="F163" i="52"/>
  <c r="E163" i="52"/>
  <c r="D163" i="52"/>
  <c r="C163" i="52"/>
  <c r="M160" i="52"/>
  <c r="L160" i="52"/>
  <c r="I160" i="52"/>
  <c r="H160" i="52"/>
  <c r="G160" i="52"/>
  <c r="F160" i="52"/>
  <c r="E160" i="52"/>
  <c r="J160" i="52"/>
  <c r="D160" i="52"/>
  <c r="C160" i="52"/>
  <c r="C169" i="52" s="1"/>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c r="L143" i="52"/>
  <c r="L141" i="52" s="1"/>
  <c r="I143" i="52"/>
  <c r="I141" i="52"/>
  <c r="H143" i="52"/>
  <c r="H141" i="52" s="1"/>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I121" i="52"/>
  <c r="H121" i="52"/>
  <c r="G121" i="52"/>
  <c r="F121" i="52"/>
  <c r="E121" i="52"/>
  <c r="J121" i="52" s="1"/>
  <c r="D121" i="52"/>
  <c r="M116" i="52"/>
  <c r="L116" i="52"/>
  <c r="L112" i="52" s="1"/>
  <c r="I116" i="52"/>
  <c r="H116" i="52"/>
  <c r="H112" i="52"/>
  <c r="G116" i="52"/>
  <c r="F116" i="52"/>
  <c r="E116" i="52"/>
  <c r="J116" i="52"/>
  <c r="D116" i="52"/>
  <c r="D112" i="52" s="1"/>
  <c r="M105" i="52"/>
  <c r="L105" i="52"/>
  <c r="I105" i="52"/>
  <c r="H105" i="52"/>
  <c r="G105" i="52"/>
  <c r="F105" i="52"/>
  <c r="E105" i="52"/>
  <c r="J105" i="52" s="1"/>
  <c r="D105" i="52"/>
  <c r="C105" i="52"/>
  <c r="M100" i="52"/>
  <c r="L100" i="52"/>
  <c r="I100" i="52"/>
  <c r="H100" i="52"/>
  <c r="G100" i="52"/>
  <c r="F100" i="52"/>
  <c r="E100" i="52"/>
  <c r="D100" i="52"/>
  <c r="C100" i="52"/>
  <c r="M77" i="52"/>
  <c r="M76" i="52" s="1"/>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s="1"/>
  <c r="D46" i="52"/>
  <c r="C46" i="52"/>
  <c r="M39" i="52"/>
  <c r="L39" i="52"/>
  <c r="I39" i="52"/>
  <c r="H39" i="52"/>
  <c r="G39" i="52"/>
  <c r="F39" i="52"/>
  <c r="E39" i="52"/>
  <c r="D39" i="52"/>
  <c r="C39" i="52"/>
  <c r="M28" i="52"/>
  <c r="L28" i="52"/>
  <c r="I28" i="52"/>
  <c r="H28" i="52"/>
  <c r="G28" i="52"/>
  <c r="F28" i="52"/>
  <c r="J28" i="52"/>
  <c r="E28" i="52"/>
  <c r="D28" i="52"/>
  <c r="C28" i="52"/>
  <c r="M18" i="52"/>
  <c r="L18" i="52"/>
  <c r="I18" i="52"/>
  <c r="H18" i="52"/>
  <c r="G18" i="52"/>
  <c r="F18" i="52"/>
  <c r="E18" i="52"/>
  <c r="D18" i="52"/>
  <c r="C18" i="52"/>
  <c r="C8" i="52" s="1"/>
  <c r="M14" i="52"/>
  <c r="L14" i="52"/>
  <c r="L8" i="52" s="1"/>
  <c r="I14" i="52"/>
  <c r="H14" i="52"/>
  <c r="G14" i="52"/>
  <c r="F14" i="52"/>
  <c r="E14" i="52"/>
  <c r="D14" i="52"/>
  <c r="C14" i="52"/>
  <c r="M9" i="52"/>
  <c r="L9" i="52"/>
  <c r="I9" i="52"/>
  <c r="H9" i="52"/>
  <c r="G9" i="52"/>
  <c r="F9" i="52"/>
  <c r="E9" i="52"/>
  <c r="D9" i="52"/>
  <c r="C9" i="52"/>
  <c r="M166" i="1"/>
  <c r="M201" i="15" s="1"/>
  <c r="L166" i="1"/>
  <c r="L201" i="15"/>
  <c r="I166" i="1"/>
  <c r="I201" i="15" s="1"/>
  <c r="H166" i="1"/>
  <c r="H201" i="15"/>
  <c r="G166" i="1"/>
  <c r="G201" i="15"/>
  <c r="F166" i="1"/>
  <c r="F201" i="15"/>
  <c r="E166" i="1"/>
  <c r="J166" i="1"/>
  <c r="D166" i="1"/>
  <c r="D201" i="15"/>
  <c r="C166" i="1"/>
  <c r="C201" i="15"/>
  <c r="M163" i="1"/>
  <c r="M200" i="15"/>
  <c r="L163" i="1"/>
  <c r="L200" i="15"/>
  <c r="I163" i="1"/>
  <c r="I200" i="15"/>
  <c r="H163" i="1"/>
  <c r="H200" i="15"/>
  <c r="G163" i="1"/>
  <c r="G200" i="15"/>
  <c r="F163" i="1"/>
  <c r="F200" i="15"/>
  <c r="E163" i="1"/>
  <c r="E200" i="15"/>
  <c r="D163" i="1"/>
  <c r="D200" i="15"/>
  <c r="C163" i="1"/>
  <c r="C200" i="15"/>
  <c r="M160" i="1"/>
  <c r="M199" i="15" s="1"/>
  <c r="L160" i="1"/>
  <c r="L199" i="15" s="1"/>
  <c r="I160" i="1"/>
  <c r="I199" i="15" s="1"/>
  <c r="H160" i="1"/>
  <c r="H199" i="15"/>
  <c r="G160" i="1"/>
  <c r="G199" i="15"/>
  <c r="F160" i="1"/>
  <c r="F199" i="15"/>
  <c r="E160" i="1"/>
  <c r="D160" i="1"/>
  <c r="D199" i="15" s="1"/>
  <c r="C160" i="1"/>
  <c r="C199" i="15"/>
  <c r="M157" i="1"/>
  <c r="M198" i="15" s="1"/>
  <c r="L157" i="1"/>
  <c r="L198" i="15" s="1"/>
  <c r="I157" i="1"/>
  <c r="I198" i="15" s="1"/>
  <c r="H157" i="1"/>
  <c r="H198" i="15"/>
  <c r="G157" i="1"/>
  <c r="G198" i="15" s="1"/>
  <c r="F157" i="1"/>
  <c r="F198" i="15" s="1"/>
  <c r="E157" i="1"/>
  <c r="D157" i="1"/>
  <c r="D198" i="15"/>
  <c r="C157" i="1"/>
  <c r="C198" i="15" s="1"/>
  <c r="M154" i="1"/>
  <c r="M197" i="15" s="1"/>
  <c r="L154" i="1"/>
  <c r="L197" i="15" s="1"/>
  <c r="I154" i="1"/>
  <c r="I197" i="15"/>
  <c r="H154" i="1"/>
  <c r="H197" i="15"/>
  <c r="G154" i="1"/>
  <c r="G197" i="15" s="1"/>
  <c r="F154" i="1"/>
  <c r="F197" i="15"/>
  <c r="E154" i="1"/>
  <c r="J154" i="1" s="1"/>
  <c r="D154" i="1"/>
  <c r="D197" i="15" s="1"/>
  <c r="C154" i="1"/>
  <c r="C197" i="15" s="1"/>
  <c r="M151" i="1"/>
  <c r="M196" i="15" s="1"/>
  <c r="L151" i="1"/>
  <c r="L196" i="15"/>
  <c r="I151" i="1"/>
  <c r="I196" i="15" s="1"/>
  <c r="H151" i="1"/>
  <c r="H196" i="15" s="1"/>
  <c r="G151" i="1"/>
  <c r="F151" i="1"/>
  <c r="F196" i="15"/>
  <c r="E151" i="1"/>
  <c r="D151" i="1"/>
  <c r="D196" i="15"/>
  <c r="C151" i="1"/>
  <c r="C196" i="15" s="1"/>
  <c r="M143" i="1"/>
  <c r="L143" i="1"/>
  <c r="L194" i="15"/>
  <c r="L195" i="15" s="1"/>
  <c r="I143" i="1"/>
  <c r="I194" i="15"/>
  <c r="I195" i="15"/>
  <c r="I141" i="1"/>
  <c r="H143" i="1"/>
  <c r="H194" i="15"/>
  <c r="G143" i="1"/>
  <c r="F143" i="1"/>
  <c r="E143" i="1"/>
  <c r="E141" i="1"/>
  <c r="D143" i="1"/>
  <c r="M138" i="1"/>
  <c r="M192" i="15" s="1"/>
  <c r="L138" i="1"/>
  <c r="L192" i="15" s="1"/>
  <c r="I138" i="1"/>
  <c r="I192" i="15"/>
  <c r="H138" i="1"/>
  <c r="H192" i="15"/>
  <c r="G138" i="1"/>
  <c r="G192" i="15"/>
  <c r="F138" i="1"/>
  <c r="F192" i="15"/>
  <c r="E138" i="1"/>
  <c r="E192" i="15"/>
  <c r="D138" i="1"/>
  <c r="D192" i="15"/>
  <c r="C138" i="1"/>
  <c r="C192" i="15"/>
  <c r="M133" i="1"/>
  <c r="L133" i="1"/>
  <c r="I133" i="1"/>
  <c r="H133" i="1"/>
  <c r="H190" i="15" s="1"/>
  <c r="G133" i="1"/>
  <c r="F133" i="1"/>
  <c r="F190" i="15"/>
  <c r="E133" i="1"/>
  <c r="E120" i="1"/>
  <c r="D133" i="1"/>
  <c r="D190" i="15"/>
  <c r="C133" i="1"/>
  <c r="M116" i="1"/>
  <c r="M187" i="15" s="1"/>
  <c r="L116" i="1"/>
  <c r="L187" i="15" s="1"/>
  <c r="I116" i="1"/>
  <c r="I187" i="15" s="1"/>
  <c r="H116" i="1"/>
  <c r="H187" i="15" s="1"/>
  <c r="G116" i="1"/>
  <c r="G187" i="15" s="1"/>
  <c r="F116" i="1"/>
  <c r="F187" i="15" s="1"/>
  <c r="E116" i="1"/>
  <c r="E112" i="1" s="1"/>
  <c r="D116" i="1"/>
  <c r="M113" i="1"/>
  <c r="L113" i="1"/>
  <c r="L112"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c r="H100" i="1"/>
  <c r="H183" i="15"/>
  <c r="G100" i="1"/>
  <c r="G183" i="15"/>
  <c r="F100" i="1"/>
  <c r="F183" i="15"/>
  <c r="D100" i="1"/>
  <c r="C100" i="1"/>
  <c r="C183" i="15" s="1"/>
  <c r="M77" i="1"/>
  <c r="M182" i="15"/>
  <c r="L77" i="1"/>
  <c r="L182" i="15" s="1"/>
  <c r="I77" i="1"/>
  <c r="I182" i="15" s="1"/>
  <c r="I184" i="15"/>
  <c r="H77" i="1"/>
  <c r="H182" i="15"/>
  <c r="G77" i="1"/>
  <c r="G182" i="15"/>
  <c r="G184" i="15" s="1"/>
  <c r="F77" i="1"/>
  <c r="F182" i="15" s="1"/>
  <c r="F184" i="15" s="1"/>
  <c r="E77" i="1"/>
  <c r="E76" i="1"/>
  <c r="D77" i="1"/>
  <c r="D182" i="15"/>
  <c r="C77" i="1"/>
  <c r="M70" i="1"/>
  <c r="M180" i="15" s="1"/>
  <c r="L70" i="1"/>
  <c r="L180" i="15" s="1"/>
  <c r="I70" i="1"/>
  <c r="I180" i="15" s="1"/>
  <c r="H70" i="1"/>
  <c r="H180" i="15" s="1"/>
  <c r="G70" i="1"/>
  <c r="G180" i="15" s="1"/>
  <c r="F70" i="1"/>
  <c r="F180" i="15" s="1"/>
  <c r="E70" i="1"/>
  <c r="E180" i="15" s="1"/>
  <c r="D70" i="1"/>
  <c r="D180" i="15" s="1"/>
  <c r="C70" i="1"/>
  <c r="C180" i="15" s="1"/>
  <c r="M64" i="1"/>
  <c r="M179" i="15" s="1"/>
  <c r="L64" i="1"/>
  <c r="L179" i="15" s="1"/>
  <c r="I64" i="1"/>
  <c r="I179" i="15" s="1"/>
  <c r="H64" i="1"/>
  <c r="H179" i="15" s="1"/>
  <c r="G64" i="1"/>
  <c r="F64" i="1"/>
  <c r="F179" i="15"/>
  <c r="E64" i="1"/>
  <c r="D64" i="1"/>
  <c r="C64" i="1"/>
  <c r="C179" i="15"/>
  <c r="M54" i="1"/>
  <c r="M178" i="15" s="1"/>
  <c r="L54" i="1"/>
  <c r="L178" i="15"/>
  <c r="I54" i="1"/>
  <c r="I178" i="15" s="1"/>
  <c r="H54" i="1"/>
  <c r="H178" i="15"/>
  <c r="G54" i="1"/>
  <c r="G178" i="15"/>
  <c r="F54" i="1"/>
  <c r="F178" i="15"/>
  <c r="E54" i="1"/>
  <c r="D54" i="1"/>
  <c r="D178" i="15"/>
  <c r="C54" i="1"/>
  <c r="C178" i="15"/>
  <c r="M46" i="1"/>
  <c r="M177" i="15"/>
  <c r="L46" i="1"/>
  <c r="L177" i="15" s="1"/>
  <c r="I46" i="1"/>
  <c r="I177" i="15"/>
  <c r="H46" i="1"/>
  <c r="H177" i="15"/>
  <c r="G46" i="1"/>
  <c r="G177" i="15"/>
  <c r="F46" i="1"/>
  <c r="F177" i="15"/>
  <c r="E46" i="1"/>
  <c r="E177" i="15"/>
  <c r="D46" i="1"/>
  <c r="D177" i="15"/>
  <c r="C46" i="1"/>
  <c r="C177" i="15"/>
  <c r="M39" i="1"/>
  <c r="M176" i="15"/>
  <c r="L39" i="1"/>
  <c r="L176" i="15"/>
  <c r="I39" i="1"/>
  <c r="I176" i="15"/>
  <c r="H39" i="1"/>
  <c r="H176" i="15"/>
  <c r="G39" i="1"/>
  <c r="G176" i="15"/>
  <c r="F39" i="1"/>
  <c r="F176" i="15"/>
  <c r="E39" i="1"/>
  <c r="J39" i="1"/>
  <c r="D39" i="1"/>
  <c r="D176" i="15"/>
  <c r="C39" i="1"/>
  <c r="C176" i="15"/>
  <c r="M28" i="1"/>
  <c r="M175" i="15"/>
  <c r="L28" i="1"/>
  <c r="L175" i="15"/>
  <c r="I28" i="1"/>
  <c r="I175" i="15"/>
  <c r="H28" i="1"/>
  <c r="H175" i="15"/>
  <c r="G28" i="1"/>
  <c r="G175" i="15"/>
  <c r="F28" i="1"/>
  <c r="F175" i="15"/>
  <c r="E28" i="1"/>
  <c r="E175" i="15"/>
  <c r="D28" i="1"/>
  <c r="D175" i="15"/>
  <c r="C28" i="1"/>
  <c r="C175" i="15"/>
  <c r="M18" i="1"/>
  <c r="M174" i="15" s="1"/>
  <c r="L18" i="1"/>
  <c r="L174" i="15"/>
  <c r="I18" i="1"/>
  <c r="I174" i="15" s="1"/>
  <c r="H18" i="1"/>
  <c r="H174" i="15"/>
  <c r="G18" i="1"/>
  <c r="G174" i="15"/>
  <c r="F18" i="1"/>
  <c r="F174" i="15"/>
  <c r="E18" i="1"/>
  <c r="D18" i="1"/>
  <c r="D174" i="15" s="1"/>
  <c r="C18" i="1"/>
  <c r="C174" i="15" s="1"/>
  <c r="M14" i="1"/>
  <c r="M173" i="15" s="1"/>
  <c r="L14" i="1"/>
  <c r="L173" i="15" s="1"/>
  <c r="I14" i="1"/>
  <c r="I173" i="15" s="1"/>
  <c r="H14" i="1"/>
  <c r="H173" i="15" s="1"/>
  <c r="G14" i="1"/>
  <c r="G173" i="15" s="1"/>
  <c r="F14" i="1"/>
  <c r="F173" i="15" s="1"/>
  <c r="E14" i="1"/>
  <c r="E173" i="15" s="1"/>
  <c r="D14" i="1"/>
  <c r="C14" i="1"/>
  <c r="C173" i="15"/>
  <c r="M9" i="1"/>
  <c r="L9" i="1"/>
  <c r="I9" i="1"/>
  <c r="H9" i="1"/>
  <c r="G9" i="1"/>
  <c r="G172" i="15"/>
  <c r="F9" i="1"/>
  <c r="E9" i="1"/>
  <c r="D9" i="1"/>
  <c r="C9" i="1"/>
  <c r="M69" i="15"/>
  <c r="L69" i="15"/>
  <c r="I69" i="15"/>
  <c r="H69" i="15"/>
  <c r="G69" i="15"/>
  <c r="F69" i="15"/>
  <c r="E69" i="15"/>
  <c r="D69" i="15"/>
  <c r="C69" i="15"/>
  <c r="L68" i="15"/>
  <c r="I68" i="15"/>
  <c r="H68" i="15"/>
  <c r="G68" i="15"/>
  <c r="F68" i="15"/>
  <c r="M67" i="15"/>
  <c r="L67" i="15"/>
  <c r="I67" i="15"/>
  <c r="H67" i="15"/>
  <c r="G67" i="15"/>
  <c r="F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D53" i="15"/>
  <c r="C53" i="15"/>
  <c r="M51" i="15"/>
  <c r="I51" i="15"/>
  <c r="H51" i="15"/>
  <c r="G51" i="15"/>
  <c r="F51" i="15"/>
  <c r="D51" i="15"/>
  <c r="M50" i="15"/>
  <c r="L50" i="15"/>
  <c r="C50" i="15"/>
  <c r="L48" i="15"/>
  <c r="I48" i="15"/>
  <c r="H48" i="15"/>
  <c r="G48" i="15"/>
  <c r="F48" i="15"/>
  <c r="D48" i="15"/>
  <c r="C48" i="15"/>
  <c r="L47" i="15"/>
  <c r="I47"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I42" i="15"/>
  <c r="H42" i="15"/>
  <c r="F42" i="15"/>
  <c r="D42" i="15"/>
  <c r="C42" i="15"/>
  <c r="M41" i="15"/>
  <c r="L41" i="15"/>
  <c r="I41" i="15"/>
  <c r="G41" i="15"/>
  <c r="F41" i="15"/>
  <c r="D41" i="15"/>
  <c r="C41" i="15"/>
  <c r="M77" i="34"/>
  <c r="M18" i="15"/>
  <c r="L77" i="34"/>
  <c r="L18" i="15"/>
  <c r="I77" i="34"/>
  <c r="I18" i="15"/>
  <c r="H77" i="34"/>
  <c r="H18" i="15"/>
  <c r="G77" i="34"/>
  <c r="G18" i="15"/>
  <c r="G114" i="15" s="1"/>
  <c r="F77" i="34"/>
  <c r="F18" i="15" s="1"/>
  <c r="E77" i="34"/>
  <c r="D77" i="34"/>
  <c r="M166" i="34"/>
  <c r="M37" i="15" s="1"/>
  <c r="L166" i="34"/>
  <c r="L37" i="15" s="1"/>
  <c r="I166" i="34"/>
  <c r="I37" i="15" s="1"/>
  <c r="H166" i="34"/>
  <c r="H37" i="15" s="1"/>
  <c r="G166" i="34"/>
  <c r="G37" i="15"/>
  <c r="F166" i="34"/>
  <c r="F37" i="15"/>
  <c r="E166" i="34"/>
  <c r="D166" i="34"/>
  <c r="D37" i="15" s="1"/>
  <c r="D133" i="15" s="1"/>
  <c r="C166" i="34"/>
  <c r="C37" i="15"/>
  <c r="M163" i="34"/>
  <c r="M36" i="15"/>
  <c r="L163" i="34"/>
  <c r="L36" i="15"/>
  <c r="I163" i="34"/>
  <c r="I36" i="15"/>
  <c r="H163" i="34"/>
  <c r="H36" i="15"/>
  <c r="G163" i="34"/>
  <c r="G36" i="15"/>
  <c r="F163" i="34"/>
  <c r="F36" i="15"/>
  <c r="E163" i="34"/>
  <c r="D163" i="34"/>
  <c r="D36" i="15" s="1"/>
  <c r="C163" i="34"/>
  <c r="C36" i="15" s="1"/>
  <c r="M160" i="34"/>
  <c r="M35" i="15" s="1"/>
  <c r="L160" i="34"/>
  <c r="L35" i="15" s="1"/>
  <c r="I160" i="34"/>
  <c r="I35" i="15" s="1"/>
  <c r="H160" i="34"/>
  <c r="H35" i="15" s="1"/>
  <c r="G160" i="34"/>
  <c r="G35" i="15" s="1"/>
  <c r="F160" i="34"/>
  <c r="F35" i="15" s="1"/>
  <c r="E160" i="34"/>
  <c r="D160" i="34"/>
  <c r="D35" i="15"/>
  <c r="C160" i="34"/>
  <c r="C35" i="15" s="1"/>
  <c r="C131" i="15" s="1"/>
  <c r="M157" i="34"/>
  <c r="M34" i="15"/>
  <c r="L157" i="34"/>
  <c r="L34" i="15"/>
  <c r="I157" i="34"/>
  <c r="I34" i="15"/>
  <c r="I130" i="15" s="1"/>
  <c r="H157" i="34"/>
  <c r="H34" i="15"/>
  <c r="G157" i="34"/>
  <c r="G34" i="15"/>
  <c r="F157" i="34"/>
  <c r="F34" i="15"/>
  <c r="E157" i="34"/>
  <c r="D157" i="34"/>
  <c r="D34" i="15" s="1"/>
  <c r="D130" i="15"/>
  <c r="C157" i="34"/>
  <c r="C34" i="15"/>
  <c r="C130" i="15" s="1"/>
  <c r="M154" i="34"/>
  <c r="M33" i="15" s="1"/>
  <c r="L154" i="34"/>
  <c r="L33" i="15" s="1"/>
  <c r="I154" i="34"/>
  <c r="I33" i="15" s="1"/>
  <c r="H154" i="34"/>
  <c r="H33" i="15" s="1"/>
  <c r="G154" i="34"/>
  <c r="G33" i="15" s="1"/>
  <c r="F154" i="34"/>
  <c r="F33" i="15" s="1"/>
  <c r="E154" i="34"/>
  <c r="E33" i="15" s="1"/>
  <c r="D154" i="34"/>
  <c r="C154" i="34"/>
  <c r="C33" i="15"/>
  <c r="M133" i="34"/>
  <c r="M26" i="15" s="1"/>
  <c r="L133" i="34"/>
  <c r="L26" i="15" s="1"/>
  <c r="I133" i="34"/>
  <c r="H133" i="34"/>
  <c r="H26" i="15"/>
  <c r="G133" i="34"/>
  <c r="G26" i="15"/>
  <c r="F133" i="34"/>
  <c r="F26" i="15"/>
  <c r="E133" i="34"/>
  <c r="D133" i="34"/>
  <c r="D26" i="15" s="1"/>
  <c r="C133" i="34"/>
  <c r="M116" i="34"/>
  <c r="M23" i="15"/>
  <c r="L116" i="34"/>
  <c r="L23" i="15"/>
  <c r="I116" i="34"/>
  <c r="I23" i="15"/>
  <c r="H116" i="34"/>
  <c r="H23" i="15"/>
  <c r="G116" i="34"/>
  <c r="G23" i="15"/>
  <c r="F116" i="34"/>
  <c r="F23" i="15"/>
  <c r="E116" i="34"/>
  <c r="M113" i="34"/>
  <c r="M112" i="34" s="1"/>
  <c r="L113" i="34"/>
  <c r="I113" i="34"/>
  <c r="H113" i="34"/>
  <c r="G113" i="34"/>
  <c r="G112" i="34" s="1"/>
  <c r="F113" i="34"/>
  <c r="E113" i="34"/>
  <c r="D116" i="34"/>
  <c r="D113" i="34"/>
  <c r="M105" i="34"/>
  <c r="M21" i="15" s="1"/>
  <c r="L105" i="34"/>
  <c r="L21" i="15" s="1"/>
  <c r="I105" i="34"/>
  <c r="I21" i="15" s="1"/>
  <c r="H105" i="34"/>
  <c r="H21" i="15" s="1"/>
  <c r="G105" i="34"/>
  <c r="G21" i="15" s="1"/>
  <c r="G117" i="15" s="1"/>
  <c r="F105" i="34"/>
  <c r="F21" i="15"/>
  <c r="E105" i="34"/>
  <c r="D105" i="34"/>
  <c r="D21" i="15" s="1"/>
  <c r="C105" i="34"/>
  <c r="C21" i="15" s="1"/>
  <c r="M100" i="34"/>
  <c r="M19" i="15" s="1"/>
  <c r="L100" i="34"/>
  <c r="L19" i="15" s="1"/>
  <c r="I100" i="34"/>
  <c r="I19" i="15" s="1"/>
  <c r="H100" i="34"/>
  <c r="H19" i="15" s="1"/>
  <c r="G100" i="34"/>
  <c r="F100" i="34"/>
  <c r="F19" i="15"/>
  <c r="E100" i="34"/>
  <c r="D100" i="34"/>
  <c r="C100" i="34"/>
  <c r="C77" i="34"/>
  <c r="M64" i="34"/>
  <c r="M15" i="15"/>
  <c r="L64" i="34"/>
  <c r="L15" i="15"/>
  <c r="I64" i="34"/>
  <c r="I15" i="15"/>
  <c r="H64" i="34"/>
  <c r="H15" i="15"/>
  <c r="G64" i="34"/>
  <c r="G15" i="15"/>
  <c r="F64" i="34"/>
  <c r="F15" i="15"/>
  <c r="E64" i="34"/>
  <c r="D64" i="34"/>
  <c r="D15" i="15" s="1"/>
  <c r="C64" i="34"/>
  <c r="C15" i="15" s="1"/>
  <c r="M54" i="34"/>
  <c r="M14" i="15" s="1"/>
  <c r="L54" i="34"/>
  <c r="L14" i="15" s="1"/>
  <c r="I54" i="34"/>
  <c r="I14" i="15" s="1"/>
  <c r="H54" i="34"/>
  <c r="H14" i="15" s="1"/>
  <c r="G54" i="34"/>
  <c r="G14" i="15" s="1"/>
  <c r="F54" i="34"/>
  <c r="F14" i="15" s="1"/>
  <c r="E54" i="34"/>
  <c r="D54" i="34"/>
  <c r="C54" i="34"/>
  <c r="C14" i="15" s="1"/>
  <c r="M46" i="34"/>
  <c r="M13" i="15" s="1"/>
  <c r="L46" i="34"/>
  <c r="L13" i="15" s="1"/>
  <c r="I46" i="34"/>
  <c r="I13" i="15" s="1"/>
  <c r="H46" i="34"/>
  <c r="H13" i="15" s="1"/>
  <c r="G46" i="34"/>
  <c r="G13" i="15" s="1"/>
  <c r="F46" i="34"/>
  <c r="F13" i="15" s="1"/>
  <c r="E46" i="34"/>
  <c r="D46" i="34"/>
  <c r="C46" i="34"/>
  <c r="C13" i="15" s="1"/>
  <c r="M39" i="34"/>
  <c r="M12" i="15" s="1"/>
  <c r="L39" i="34"/>
  <c r="L12" i="15" s="1"/>
  <c r="I39" i="34"/>
  <c r="I12" i="15" s="1"/>
  <c r="H39" i="34"/>
  <c r="H12" i="15" s="1"/>
  <c r="G39" i="34"/>
  <c r="G12" i="15" s="1"/>
  <c r="F39" i="34"/>
  <c r="F12" i="15" s="1"/>
  <c r="E39" i="34"/>
  <c r="D39" i="34"/>
  <c r="C39" i="34"/>
  <c r="C12" i="15" s="1"/>
  <c r="M9" i="34"/>
  <c r="M8" i="15" s="1"/>
  <c r="L9" i="34"/>
  <c r="L8" i="34" s="1"/>
  <c r="I9" i="34"/>
  <c r="H9" i="34"/>
  <c r="G9" i="34"/>
  <c r="G8" i="15" s="1"/>
  <c r="F9" i="34"/>
  <c r="E9" i="34"/>
  <c r="D9" i="34"/>
  <c r="D8" i="15" s="1"/>
  <c r="C9" i="34"/>
  <c r="C8" i="15" s="1"/>
  <c r="A50" i="9"/>
  <c r="A27" i="9"/>
  <c r="A247" i="46"/>
  <c r="A246" i="46"/>
  <c r="A245" i="46"/>
  <c r="A244" i="46"/>
  <c r="A243" i="46"/>
  <c r="A242" i="46"/>
  <c r="A241" i="46"/>
  <c r="M236" i="46"/>
  <c r="M48" i="9" s="1"/>
  <c r="L236" i="46"/>
  <c r="L48" i="9" s="1"/>
  <c r="Q47" i="29" s="1"/>
  <c r="I236" i="46"/>
  <c r="I48" i="9"/>
  <c r="H236" i="46"/>
  <c r="H48" i="9"/>
  <c r="G236" i="46"/>
  <c r="G48" i="9"/>
  <c r="F236" i="46"/>
  <c r="D236" i="46"/>
  <c r="C236" i="46"/>
  <c r="C48" i="9"/>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c r="H187" i="46"/>
  <c r="G187" i="46"/>
  <c r="G38" i="9" s="1"/>
  <c r="F187" i="46"/>
  <c r="F38" i="9" s="1"/>
  <c r="E187" i="46"/>
  <c r="D187" i="46"/>
  <c r="C187" i="46"/>
  <c r="C38" i="9" s="1"/>
  <c r="A188" i="46"/>
  <c r="A186" i="46"/>
  <c r="A183" i="46"/>
  <c r="A182" i="46"/>
  <c r="A181" i="46"/>
  <c r="A180" i="46"/>
  <c r="A179" i="46"/>
  <c r="A178" i="46"/>
  <c r="A177" i="46"/>
  <c r="A176" i="46"/>
  <c r="A175" i="46"/>
  <c r="A174" i="46"/>
  <c r="A173" i="46"/>
  <c r="A172" i="46"/>
  <c r="M172" i="46"/>
  <c r="M36" i="9" s="1"/>
  <c r="R35" i="29"/>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Q31" i="29" s="1"/>
  <c r="I133" i="46"/>
  <c r="I32" i="9" s="1"/>
  <c r="H133" i="46"/>
  <c r="H32" i="9" s="1"/>
  <c r="G133" i="46"/>
  <c r="F133" i="46"/>
  <c r="F32" i="9"/>
  <c r="E133" i="46"/>
  <c r="E32" i="9"/>
  <c r="D133" i="46"/>
  <c r="C133" i="46"/>
  <c r="C32" i="9" s="1"/>
  <c r="M114" i="46"/>
  <c r="M25" i="9" s="1"/>
  <c r="R24" i="29" s="1"/>
  <c r="L114" i="46"/>
  <c r="L25" i="9" s="1"/>
  <c r="Q24" i="29"/>
  <c r="I114" i="46"/>
  <c r="I25" i="9"/>
  <c r="H114" i="46"/>
  <c r="H25" i="9"/>
  <c r="G114" i="46"/>
  <c r="F114" i="46"/>
  <c r="F25" i="9" s="1"/>
  <c r="E114" i="46"/>
  <c r="D114" i="46"/>
  <c r="D25" i="9"/>
  <c r="C114" i="46"/>
  <c r="C25" i="9"/>
  <c r="M65" i="46"/>
  <c r="M15" i="9" s="1"/>
  <c r="L65" i="46"/>
  <c r="L15" i="9" s="1"/>
  <c r="Q14" i="29" s="1"/>
  <c r="I65" i="46"/>
  <c r="I15" i="9"/>
  <c r="H65" i="46"/>
  <c r="H15" i="9"/>
  <c r="G65" i="46"/>
  <c r="G15" i="9"/>
  <c r="F65" i="46"/>
  <c r="E65" i="46"/>
  <c r="E15" i="9" s="1"/>
  <c r="D65" i="46"/>
  <c r="D15" i="9" s="1"/>
  <c r="C65" i="46"/>
  <c r="C15" i="9" s="1"/>
  <c r="M50" i="46"/>
  <c r="L50" i="46"/>
  <c r="L13" i="9"/>
  <c r="I50" i="46"/>
  <c r="I13" i="9" s="1"/>
  <c r="H50" i="46"/>
  <c r="H13" i="9"/>
  <c r="G50" i="46"/>
  <c r="G13" i="9" s="1"/>
  <c r="F50" i="46"/>
  <c r="E50" i="46"/>
  <c r="E13" i="9" s="1"/>
  <c r="D50" i="46"/>
  <c r="D13" i="9"/>
  <c r="C50" i="46"/>
  <c r="C13" i="9" s="1"/>
  <c r="M11" i="46"/>
  <c r="M9" i="9" s="1"/>
  <c r="R8" i="29" s="1"/>
  <c r="L11" i="46"/>
  <c r="I11" i="46"/>
  <c r="I9" i="9" s="1"/>
  <c r="H11" i="46"/>
  <c r="H9" i="9"/>
  <c r="G11" i="46"/>
  <c r="G9" i="9" s="1"/>
  <c r="F11" i="46"/>
  <c r="F9" i="9"/>
  <c r="E11" i="46"/>
  <c r="E9" i="9" s="1"/>
  <c r="D11" i="46"/>
  <c r="D9" i="9"/>
  <c r="C11" i="46"/>
  <c r="J75" i="11"/>
  <c r="K75" i="11" s="1"/>
  <c r="J74" i="11"/>
  <c r="J71" i="11"/>
  <c r="J70" i="11"/>
  <c r="J69" i="11"/>
  <c r="K69" i="11" s="1"/>
  <c r="J68" i="11"/>
  <c r="J64" i="11"/>
  <c r="K64" i="11"/>
  <c r="O25" i="33"/>
  <c r="N25" i="33" s="1"/>
  <c r="J63" i="11"/>
  <c r="K63" i="11"/>
  <c r="O24" i="33" s="1"/>
  <c r="N24" i="33" s="1"/>
  <c r="J62" i="11"/>
  <c r="J61" i="11"/>
  <c r="K61" i="11"/>
  <c r="O22" i="33" s="1"/>
  <c r="N22" i="33" s="1"/>
  <c r="J60" i="11"/>
  <c r="K60" i="11"/>
  <c r="J58" i="11"/>
  <c r="J57" i="11"/>
  <c r="J56" i="11"/>
  <c r="J54" i="11"/>
  <c r="J53" i="11"/>
  <c r="K53" i="11" s="1"/>
  <c r="O14" i="33" s="1"/>
  <c r="N14" i="33" s="1"/>
  <c r="J52" i="11"/>
  <c r="K52" i="11" s="1"/>
  <c r="O13" i="33" s="1"/>
  <c r="N13" i="33" s="1"/>
  <c r="J51" i="11"/>
  <c r="K51" i="11" s="1"/>
  <c r="J50" i="11"/>
  <c r="K50" i="11"/>
  <c r="O11" i="33" s="1"/>
  <c r="J48" i="11"/>
  <c r="J47" i="11"/>
  <c r="K47" i="11"/>
  <c r="O8" i="33" s="1"/>
  <c r="N8" i="33" s="1"/>
  <c r="J46" i="11"/>
  <c r="K40" i="22"/>
  <c r="J40" i="22"/>
  <c r="H40" i="22"/>
  <c r="G40" i="22"/>
  <c r="D158" i="17"/>
  <c r="D35" i="10" s="1"/>
  <c r="C158" i="17"/>
  <c r="C35" i="10" s="1"/>
  <c r="K26" i="24"/>
  <c r="J26" i="24"/>
  <c r="K26" i="23"/>
  <c r="J26" i="23"/>
  <c r="M165" i="17"/>
  <c r="L165" i="17"/>
  <c r="I165" i="17"/>
  <c r="H165" i="17"/>
  <c r="G165" i="17"/>
  <c r="F165" i="17"/>
  <c r="E165" i="17"/>
  <c r="D165" i="17"/>
  <c r="C165" i="17"/>
  <c r="D122" i="17"/>
  <c r="C122" i="17"/>
  <c r="C128" i="17" s="1"/>
  <c r="C33" i="10" s="1"/>
  <c r="F2" i="21"/>
  <c r="D2" i="21"/>
  <c r="M3" i="21"/>
  <c r="L3" i="21"/>
  <c r="K3" i="21"/>
  <c r="J3" i="21"/>
  <c r="I3" i="21"/>
  <c r="H3" i="21"/>
  <c r="G3" i="21"/>
  <c r="M244" i="21"/>
  <c r="L244" i="21"/>
  <c r="L245" i="21" s="1"/>
  <c r="K244" i="21"/>
  <c r="J244" i="21"/>
  <c r="I244" i="21"/>
  <c r="H244" i="21"/>
  <c r="G244" i="21"/>
  <c r="F244" i="21"/>
  <c r="E244" i="21"/>
  <c r="M238" i="21"/>
  <c r="M245" i="21" s="1"/>
  <c r="L238" i="21"/>
  <c r="K238" i="21"/>
  <c r="K245" i="21" s="1"/>
  <c r="J238" i="21"/>
  <c r="J245" i="21"/>
  <c r="I238" i="21"/>
  <c r="I245" i="21" s="1"/>
  <c r="H238" i="21"/>
  <c r="G238" i="21"/>
  <c r="G245" i="21"/>
  <c r="F238" i="21"/>
  <c r="F245" i="21" s="1"/>
  <c r="E238" i="21"/>
  <c r="M234" i="21"/>
  <c r="M235" i="21" s="1"/>
  <c r="L234" i="21"/>
  <c r="K234" i="21"/>
  <c r="J234" i="21"/>
  <c r="J235" i="21" s="1"/>
  <c r="I234" i="21"/>
  <c r="H234" i="21"/>
  <c r="G234" i="21"/>
  <c r="F234" i="21"/>
  <c r="E234" i="21"/>
  <c r="M230" i="21"/>
  <c r="L230" i="21"/>
  <c r="K230" i="21"/>
  <c r="K235" i="21" s="1"/>
  <c r="J230" i="21"/>
  <c r="I230" i="21"/>
  <c r="I235" i="21" s="1"/>
  <c r="H230" i="21"/>
  <c r="G230" i="21"/>
  <c r="F230" i="21"/>
  <c r="E230" i="21"/>
  <c r="E235" i="21" s="1"/>
  <c r="M225" i="21"/>
  <c r="L225" i="21"/>
  <c r="K225" i="21"/>
  <c r="J225" i="21"/>
  <c r="I225" i="21"/>
  <c r="H225" i="21"/>
  <c r="G225" i="21"/>
  <c r="F225" i="21"/>
  <c r="E225" i="21"/>
  <c r="E226" i="21"/>
  <c r="M221" i="21"/>
  <c r="M226" i="21" s="1"/>
  <c r="L221" i="21"/>
  <c r="K221" i="21"/>
  <c r="K226" i="21" s="1"/>
  <c r="J221" i="21"/>
  <c r="J226" i="21"/>
  <c r="I221" i="21"/>
  <c r="H221" i="21"/>
  <c r="H226" i="21" s="1"/>
  <c r="G221" i="21"/>
  <c r="G226" i="21"/>
  <c r="F221" i="21"/>
  <c r="E221" i="21"/>
  <c r="M213" i="21"/>
  <c r="M214" i="21"/>
  <c r="L213" i="21"/>
  <c r="K213" i="21"/>
  <c r="J213" i="21"/>
  <c r="I213" i="21"/>
  <c r="H213" i="21"/>
  <c r="G213" i="21"/>
  <c r="F213" i="21"/>
  <c r="E213" i="21"/>
  <c r="M209" i="21"/>
  <c r="L209" i="21"/>
  <c r="L214" i="21" s="1"/>
  <c r="K209" i="21"/>
  <c r="J209" i="21"/>
  <c r="I209" i="21"/>
  <c r="I214" i="21"/>
  <c r="H209" i="21"/>
  <c r="G209" i="21"/>
  <c r="G214" i="21"/>
  <c r="F209" i="21"/>
  <c r="E209" i="21"/>
  <c r="E214" i="21"/>
  <c r="J202" i="21"/>
  <c r="I202" i="21"/>
  <c r="H202" i="21"/>
  <c r="G202" i="21"/>
  <c r="F202" i="21"/>
  <c r="E202" i="21"/>
  <c r="M198" i="21"/>
  <c r="L198" i="21"/>
  <c r="K198" i="21"/>
  <c r="J198" i="21"/>
  <c r="I198" i="21"/>
  <c r="H198" i="21"/>
  <c r="G198" i="21"/>
  <c r="F198" i="21"/>
  <c r="E198" i="21"/>
  <c r="M192" i="21"/>
  <c r="M199" i="21"/>
  <c r="L192" i="21"/>
  <c r="K192" i="21"/>
  <c r="J192" i="21"/>
  <c r="I192" i="21"/>
  <c r="I199" i="21" s="1"/>
  <c r="H192" i="21"/>
  <c r="H199" i="21"/>
  <c r="G192" i="21"/>
  <c r="F192" i="21"/>
  <c r="F199" i="21"/>
  <c r="E192" i="21"/>
  <c r="M188" i="21"/>
  <c r="L188" i="21"/>
  <c r="K188" i="21"/>
  <c r="J188" i="21"/>
  <c r="I188" i="21"/>
  <c r="H188" i="21"/>
  <c r="G188" i="21"/>
  <c r="F188" i="21"/>
  <c r="E188" i="21"/>
  <c r="M184" i="21"/>
  <c r="M189" i="21"/>
  <c r="L184" i="21"/>
  <c r="L189" i="21" s="1"/>
  <c r="K184" i="21"/>
  <c r="K189" i="21"/>
  <c r="J184" i="21"/>
  <c r="I184" i="21"/>
  <c r="I189" i="21"/>
  <c r="H184" i="21"/>
  <c r="H189" i="21" s="1"/>
  <c r="G184" i="21"/>
  <c r="G189" i="21"/>
  <c r="F184" i="21"/>
  <c r="E184" i="21"/>
  <c r="M179" i="21"/>
  <c r="L179" i="21"/>
  <c r="K179" i="21"/>
  <c r="J179" i="21"/>
  <c r="I179" i="21"/>
  <c r="H179" i="21"/>
  <c r="G179" i="21"/>
  <c r="F179" i="21"/>
  <c r="E179" i="21"/>
  <c r="M175" i="21"/>
  <c r="M180" i="21" s="1"/>
  <c r="L175" i="21"/>
  <c r="K175" i="21"/>
  <c r="J175" i="21"/>
  <c r="J180" i="21" s="1"/>
  <c r="I175" i="21"/>
  <c r="H175" i="21"/>
  <c r="G175" i="21"/>
  <c r="G180" i="21" s="1"/>
  <c r="F175" i="21"/>
  <c r="E175" i="21"/>
  <c r="E180" i="21"/>
  <c r="M167" i="21"/>
  <c r="L167" i="21"/>
  <c r="K167" i="21"/>
  <c r="J167" i="21"/>
  <c r="I167" i="21"/>
  <c r="H167" i="21"/>
  <c r="G167" i="21"/>
  <c r="F167" i="21"/>
  <c r="E167" i="21"/>
  <c r="M163" i="21"/>
  <c r="L163" i="21"/>
  <c r="K163" i="21"/>
  <c r="J163" i="21"/>
  <c r="I163" i="21"/>
  <c r="H163" i="21"/>
  <c r="H168" i="21"/>
  <c r="G163" i="21"/>
  <c r="G168" i="21" s="1"/>
  <c r="F163" i="21"/>
  <c r="F168" i="21"/>
  <c r="E163" i="21"/>
  <c r="E168" i="21" s="1"/>
  <c r="J156" i="21"/>
  <c r="I156" i="21"/>
  <c r="H156" i="21"/>
  <c r="G156" i="21"/>
  <c r="F156" i="21"/>
  <c r="E156" i="21"/>
  <c r="M152" i="21"/>
  <c r="L152" i="21"/>
  <c r="K152" i="21"/>
  <c r="J152" i="21"/>
  <c r="J153" i="21" s="1"/>
  <c r="I152" i="21"/>
  <c r="H152" i="21"/>
  <c r="G152" i="21"/>
  <c r="F152" i="21"/>
  <c r="E152" i="21"/>
  <c r="M146" i="21"/>
  <c r="M153" i="21"/>
  <c r="L146" i="21"/>
  <c r="K146" i="21"/>
  <c r="J146" i="21"/>
  <c r="I146" i="21"/>
  <c r="I153" i="21" s="1"/>
  <c r="H146" i="21"/>
  <c r="G146" i="21"/>
  <c r="G153" i="21"/>
  <c r="F146" i="21"/>
  <c r="F153" i="21" s="1"/>
  <c r="E146" i="21"/>
  <c r="E153" i="21"/>
  <c r="M142" i="21"/>
  <c r="L142" i="21"/>
  <c r="K142" i="21"/>
  <c r="J142" i="21"/>
  <c r="I142" i="21"/>
  <c r="H142" i="21"/>
  <c r="G142" i="21"/>
  <c r="F142" i="21"/>
  <c r="E142" i="21"/>
  <c r="M138" i="21"/>
  <c r="L138" i="21"/>
  <c r="L143" i="21" s="1"/>
  <c r="K138" i="21"/>
  <c r="K143" i="21"/>
  <c r="J138" i="21"/>
  <c r="I138" i="21"/>
  <c r="I143" i="21" s="1"/>
  <c r="H138" i="21"/>
  <c r="H143" i="21"/>
  <c r="G138" i="21"/>
  <c r="F138" i="21"/>
  <c r="F143" i="21" s="1"/>
  <c r="E138" i="21"/>
  <c r="M133" i="21"/>
  <c r="L133" i="21"/>
  <c r="K133" i="21"/>
  <c r="J133" i="21"/>
  <c r="I133" i="21"/>
  <c r="H133" i="21"/>
  <c r="G133" i="21"/>
  <c r="F133" i="21"/>
  <c r="E133" i="21"/>
  <c r="M129" i="21"/>
  <c r="L129" i="21"/>
  <c r="L134" i="21"/>
  <c r="K129" i="21"/>
  <c r="K134" i="21" s="1"/>
  <c r="J129" i="21"/>
  <c r="I129" i="21"/>
  <c r="H129" i="21"/>
  <c r="G129" i="21"/>
  <c r="G134" i="21" s="1"/>
  <c r="F129" i="21"/>
  <c r="E129" i="21"/>
  <c r="E134" i="21" s="1"/>
  <c r="M121" i="21"/>
  <c r="L121" i="21"/>
  <c r="K121" i="21"/>
  <c r="K122" i="21" s="1"/>
  <c r="J121" i="21"/>
  <c r="I121" i="21"/>
  <c r="H121" i="21"/>
  <c r="G121" i="21"/>
  <c r="F121" i="21"/>
  <c r="E121" i="21"/>
  <c r="M117" i="21"/>
  <c r="L117" i="21"/>
  <c r="L122" i="21" s="1"/>
  <c r="K117" i="21"/>
  <c r="J117" i="21"/>
  <c r="J122" i="21" s="1"/>
  <c r="I117" i="21"/>
  <c r="I122" i="21"/>
  <c r="H117" i="21"/>
  <c r="H122" i="21" s="1"/>
  <c r="G117" i="21"/>
  <c r="F117" i="21"/>
  <c r="E117" i="21"/>
  <c r="E122" i="21" s="1"/>
  <c r="J110" i="21"/>
  <c r="I110" i="21"/>
  <c r="H110" i="21"/>
  <c r="G110" i="21"/>
  <c r="F110" i="21"/>
  <c r="E110" i="21"/>
  <c r="M106" i="21"/>
  <c r="L106" i="21"/>
  <c r="K106" i="21"/>
  <c r="J106" i="21"/>
  <c r="I106" i="21"/>
  <c r="H106" i="21"/>
  <c r="G106" i="21"/>
  <c r="G107" i="21"/>
  <c r="F106" i="21"/>
  <c r="E106" i="21"/>
  <c r="M100" i="21"/>
  <c r="L100" i="21"/>
  <c r="L107" i="21" s="1"/>
  <c r="K100" i="21"/>
  <c r="J100" i="21"/>
  <c r="I100" i="21"/>
  <c r="H100" i="21"/>
  <c r="G100" i="21"/>
  <c r="F100" i="21"/>
  <c r="E100" i="21"/>
  <c r="M96" i="21"/>
  <c r="L96" i="21"/>
  <c r="K96" i="21"/>
  <c r="J96" i="21"/>
  <c r="I96" i="21"/>
  <c r="H96" i="21"/>
  <c r="G96" i="21"/>
  <c r="F96" i="21"/>
  <c r="E96" i="21"/>
  <c r="E97" i="21" s="1"/>
  <c r="M92" i="21"/>
  <c r="L92" i="21"/>
  <c r="K92" i="21"/>
  <c r="K97" i="21" s="1"/>
  <c r="J92" i="21"/>
  <c r="J97" i="21" s="1"/>
  <c r="I92" i="21"/>
  <c r="H92" i="21"/>
  <c r="G92" i="21"/>
  <c r="G97" i="21"/>
  <c r="F92" i="21"/>
  <c r="E92" i="21"/>
  <c r="M87" i="21"/>
  <c r="L87" i="21"/>
  <c r="K87" i="21"/>
  <c r="J87" i="21"/>
  <c r="I87" i="21"/>
  <c r="H87" i="21"/>
  <c r="G87" i="21"/>
  <c r="F87" i="21"/>
  <c r="E87" i="21"/>
  <c r="M83" i="21"/>
  <c r="L83" i="21"/>
  <c r="K83" i="21"/>
  <c r="J83" i="21"/>
  <c r="I83" i="21"/>
  <c r="H83" i="21"/>
  <c r="G83" i="21"/>
  <c r="G88" i="21"/>
  <c r="F83" i="21"/>
  <c r="E83" i="21"/>
  <c r="M75" i="21"/>
  <c r="L75" i="21"/>
  <c r="K75" i="21"/>
  <c r="J75" i="21"/>
  <c r="I75" i="21"/>
  <c r="H75" i="21"/>
  <c r="G75" i="21"/>
  <c r="F75" i="21"/>
  <c r="E75" i="21"/>
  <c r="M71" i="21"/>
  <c r="M76" i="21" s="1"/>
  <c r="L71" i="21"/>
  <c r="K71" i="21"/>
  <c r="J71" i="21"/>
  <c r="I71" i="21"/>
  <c r="I76" i="21" s="1"/>
  <c r="H71" i="21"/>
  <c r="G71" i="21"/>
  <c r="F71" i="21"/>
  <c r="E71" i="21"/>
  <c r="J64" i="21"/>
  <c r="I64" i="21"/>
  <c r="H64" i="21"/>
  <c r="G64" i="21"/>
  <c r="F64" i="21"/>
  <c r="E64" i="21"/>
  <c r="J9" i="13"/>
  <c r="K9" i="13"/>
  <c r="J10" i="13"/>
  <c r="K10" i="13" s="1"/>
  <c r="J11" i="13"/>
  <c r="K11" i="13" s="1"/>
  <c r="J12" i="13"/>
  <c r="K12" i="13"/>
  <c r="J13" i="13"/>
  <c r="K13" i="13" s="1"/>
  <c r="J14" i="13"/>
  <c r="K14" i="13"/>
  <c r="C77" i="17"/>
  <c r="D77" i="17"/>
  <c r="E77" i="17"/>
  <c r="C94" i="17"/>
  <c r="D94" i="17"/>
  <c r="E94" i="17"/>
  <c r="J164" i="17"/>
  <c r="K164" i="17"/>
  <c r="J163" i="17"/>
  <c r="K163" i="17" s="1"/>
  <c r="J162" i="17"/>
  <c r="J161" i="17"/>
  <c r="K161" i="17" s="1"/>
  <c r="M158" i="17"/>
  <c r="M35" i="10" s="1"/>
  <c r="R34" i="30" s="1"/>
  <c r="L158" i="17"/>
  <c r="L35" i="10" s="1"/>
  <c r="Q34" i="30" s="1"/>
  <c r="I158" i="17"/>
  <c r="I35" i="10" s="1"/>
  <c r="H158" i="17"/>
  <c r="G158" i="17"/>
  <c r="G35" i="10"/>
  <c r="F158" i="17"/>
  <c r="F35" i="10" s="1"/>
  <c r="E158" i="17"/>
  <c r="E35" i="10" s="1"/>
  <c r="J136" i="17"/>
  <c r="K136" i="17" s="1"/>
  <c r="J137" i="17"/>
  <c r="K137" i="17" s="1"/>
  <c r="J138" i="17"/>
  <c r="K138" i="17" s="1"/>
  <c r="J139" i="17"/>
  <c r="K139" i="17"/>
  <c r="J140" i="17"/>
  <c r="K140" i="17" s="1"/>
  <c r="J141" i="17"/>
  <c r="K141" i="17"/>
  <c r="J142" i="17"/>
  <c r="K142" i="17" s="1"/>
  <c r="J143" i="17"/>
  <c r="K143" i="17"/>
  <c r="J144" i="17"/>
  <c r="K144" i="17" s="1"/>
  <c r="J145" i="17"/>
  <c r="K145" i="17"/>
  <c r="J146" i="17"/>
  <c r="K146" i="17" s="1"/>
  <c r="J147" i="17"/>
  <c r="K147" i="17"/>
  <c r="J148" i="17"/>
  <c r="K148" i="17" s="1"/>
  <c r="J149" i="17"/>
  <c r="K149" i="17"/>
  <c r="J150" i="17"/>
  <c r="K150" i="17" s="1"/>
  <c r="J151" i="17"/>
  <c r="K151" i="17"/>
  <c r="J152" i="17"/>
  <c r="K152" i="17" s="1"/>
  <c r="J153" i="17"/>
  <c r="K153" i="17"/>
  <c r="J154" i="17"/>
  <c r="J155" i="17"/>
  <c r="K155" i="17" s="1"/>
  <c r="J156" i="17"/>
  <c r="K156" i="17"/>
  <c r="J157" i="17"/>
  <c r="K157" i="17" s="1"/>
  <c r="M122" i="17"/>
  <c r="M128" i="17"/>
  <c r="M33" i="10" s="1"/>
  <c r="R32" i="30" s="1"/>
  <c r="L122" i="17"/>
  <c r="L128" i="17" s="1"/>
  <c r="L33" i="10" s="1"/>
  <c r="Q32" i="30" s="1"/>
  <c r="I122" i="17"/>
  <c r="I128" i="17" s="1"/>
  <c r="I33" i="10" s="1"/>
  <c r="H122" i="17"/>
  <c r="H128" i="17"/>
  <c r="H33" i="10" s="1"/>
  <c r="G122" i="17"/>
  <c r="F122" i="17"/>
  <c r="F128" i="17"/>
  <c r="F33" i="10" s="1"/>
  <c r="E122" i="17"/>
  <c r="E128" i="17"/>
  <c r="E33" i="10"/>
  <c r="J119" i="17"/>
  <c r="K119" i="17"/>
  <c r="J118" i="17"/>
  <c r="K118" i="17"/>
  <c r="J117" i="17"/>
  <c r="K117" i="17"/>
  <c r="J116" i="17"/>
  <c r="K116"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s="1"/>
  <c r="J99" i="17"/>
  <c r="K99" i="17"/>
  <c r="J98" i="17"/>
  <c r="K98" i="17"/>
  <c r="J97" i="17"/>
  <c r="K97" i="17"/>
  <c r="M94" i="17"/>
  <c r="L94" i="17"/>
  <c r="I94" i="17"/>
  <c r="H94" i="17"/>
  <c r="G94" i="17"/>
  <c r="F94" i="17"/>
  <c r="J93" i="17"/>
  <c r="K93" i="17"/>
  <c r="J92" i="17"/>
  <c r="J94" i="17"/>
  <c r="M77" i="17"/>
  <c r="L77" i="17"/>
  <c r="I77" i="17"/>
  <c r="H77" i="17"/>
  <c r="G77" i="17"/>
  <c r="F77" i="17"/>
  <c r="J74" i="17"/>
  <c r="K74" i="17"/>
  <c r="J73" i="17"/>
  <c r="K73" i="17"/>
  <c r="J72" i="17"/>
  <c r="J71" i="17"/>
  <c r="M50" i="17"/>
  <c r="L50" i="17"/>
  <c r="L21" i="10" s="1"/>
  <c r="J49" i="17"/>
  <c r="K49" i="17"/>
  <c r="J48" i="17"/>
  <c r="K48" i="17" s="1"/>
  <c r="J47" i="17"/>
  <c r="K47" i="17" s="1"/>
  <c r="J46" i="17"/>
  <c r="K46" i="17"/>
  <c r="J45" i="17"/>
  <c r="K45" i="17"/>
  <c r="J44" i="17"/>
  <c r="K44" i="17"/>
  <c r="J43" i="17"/>
  <c r="K43" i="17"/>
  <c r="J42" i="17"/>
  <c r="K42" i="17"/>
  <c r="J41" i="17"/>
  <c r="K41" i="17"/>
  <c r="J40" i="17"/>
  <c r="K40" i="17"/>
  <c r="J39" i="17"/>
  <c r="K39" i="17"/>
  <c r="J38" i="17"/>
  <c r="I50" i="17"/>
  <c r="I21" i="10" s="1"/>
  <c r="H50" i="17"/>
  <c r="G50" i="17"/>
  <c r="G21" i="10" s="1"/>
  <c r="F50" i="17"/>
  <c r="F21" i="10"/>
  <c r="E11" i="7" s="1"/>
  <c r="E50" i="17"/>
  <c r="D50" i="17"/>
  <c r="D21" i="10" s="1"/>
  <c r="C11" i="7" s="1"/>
  <c r="C50" i="17"/>
  <c r="C21" i="10" s="1"/>
  <c r="B11" i="7" s="1"/>
  <c r="E10" i="22"/>
  <c r="F10" i="22"/>
  <c r="D10" i="22"/>
  <c r="A2" i="36"/>
  <c r="B2" i="36"/>
  <c r="C3" i="36"/>
  <c r="D3" i="36"/>
  <c r="E3" i="36"/>
  <c r="F3" i="36"/>
  <c r="G3" i="36"/>
  <c r="H3" i="36"/>
  <c r="I3" i="36"/>
  <c r="J3" i="36"/>
  <c r="K3" i="36"/>
  <c r="L3" i="36"/>
  <c r="M3" i="36"/>
  <c r="J7" i="36"/>
  <c r="K7" i="36" s="1"/>
  <c r="K17" i="36" s="1"/>
  <c r="J8" i="36"/>
  <c r="K8" i="36"/>
  <c r="J9" i="36"/>
  <c r="K9" i="36" s="1"/>
  <c r="J10" i="36"/>
  <c r="K10" i="36"/>
  <c r="J11" i="36"/>
  <c r="K11" i="36" s="1"/>
  <c r="J12" i="36"/>
  <c r="K12" i="36"/>
  <c r="J13" i="36"/>
  <c r="K13" i="36" s="1"/>
  <c r="J14" i="36"/>
  <c r="K14" i="36"/>
  <c r="J15" i="36"/>
  <c r="K15" i="36" s="1"/>
  <c r="J16" i="36"/>
  <c r="K16" i="36"/>
  <c r="C17" i="36"/>
  <c r="D17" i="36"/>
  <c r="E17" i="36"/>
  <c r="F17" i="36"/>
  <c r="G17" i="36"/>
  <c r="H17" i="36"/>
  <c r="I17" i="36"/>
  <c r="L17" i="36"/>
  <c r="M17" i="36"/>
  <c r="J20" i="36"/>
  <c r="K20" i="36" s="1"/>
  <c r="K30" i="36" s="1"/>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c r="G14" i="34"/>
  <c r="G9" i="15" s="1"/>
  <c r="H14" i="34"/>
  <c r="H9" i="15"/>
  <c r="I14" i="34"/>
  <c r="I9" i="15" s="1"/>
  <c r="L14" i="34"/>
  <c r="L9" i="15"/>
  <c r="M14" i="34"/>
  <c r="M9" i="15" s="1"/>
  <c r="C18" i="34"/>
  <c r="C10" i="15"/>
  <c r="E18" i="34"/>
  <c r="E10" i="15" s="1"/>
  <c r="F18" i="34"/>
  <c r="F10" i="15"/>
  <c r="G18" i="34"/>
  <c r="G10" i="15" s="1"/>
  <c r="G106" i="15" s="1"/>
  <c r="H18" i="34"/>
  <c r="H10" i="15"/>
  <c r="I18" i="34"/>
  <c r="I8" i="34" s="1"/>
  <c r="I10" i="15"/>
  <c r="L18" i="34"/>
  <c r="L10" i="15"/>
  <c r="M18" i="34"/>
  <c r="M8" i="34" s="1"/>
  <c r="M10" i="15"/>
  <c r="M106" i="15" s="1"/>
  <c r="C28" i="34"/>
  <c r="C11" i="15"/>
  <c r="D28" i="34"/>
  <c r="D11" i="15"/>
  <c r="D107" i="15"/>
  <c r="E28" i="34"/>
  <c r="F28" i="34"/>
  <c r="F11" i="15" s="1"/>
  <c r="G28" i="34"/>
  <c r="G11" i="15"/>
  <c r="H28" i="34"/>
  <c r="H11" i="15" s="1"/>
  <c r="I28" i="34"/>
  <c r="I11" i="15"/>
  <c r="L28" i="34"/>
  <c r="L11" i="15" s="1"/>
  <c r="M28" i="34"/>
  <c r="M11" i="15"/>
  <c r="C70" i="34"/>
  <c r="C16" i="15" s="1"/>
  <c r="C112" i="15" s="1"/>
  <c r="D70" i="34"/>
  <c r="D16" i="15"/>
  <c r="D112" i="15"/>
  <c r="E70" i="34"/>
  <c r="F70" i="34"/>
  <c r="F16" i="15"/>
  <c r="G70" i="34"/>
  <c r="G16" i="15" s="1"/>
  <c r="H70" i="34"/>
  <c r="H16" i="15"/>
  <c r="I70" i="34"/>
  <c r="I16" i="15" s="1"/>
  <c r="L70" i="34"/>
  <c r="L16" i="15"/>
  <c r="M70" i="34"/>
  <c r="M16" i="15" s="1"/>
  <c r="C138" i="34"/>
  <c r="C28" i="15"/>
  <c r="D138" i="34"/>
  <c r="D28" i="15" s="1"/>
  <c r="D124" i="15" s="1"/>
  <c r="E138" i="34"/>
  <c r="F138" i="34"/>
  <c r="F28" i="15" s="1"/>
  <c r="G138" i="34"/>
  <c r="G28" i="15"/>
  <c r="H138" i="34"/>
  <c r="H28" i="15" s="1"/>
  <c r="I138" i="34"/>
  <c r="I28" i="15"/>
  <c r="L138" i="34"/>
  <c r="L28" i="15" s="1"/>
  <c r="M138" i="34"/>
  <c r="M28" i="15"/>
  <c r="C151" i="34"/>
  <c r="C32" i="15" s="1"/>
  <c r="D151" i="34"/>
  <c r="D32" i="15"/>
  <c r="D128" i="15"/>
  <c r="E151" i="34"/>
  <c r="E32" i="15" s="1"/>
  <c r="F151" i="34"/>
  <c r="F32" i="15"/>
  <c r="G151" i="34"/>
  <c r="G32" i="15" s="1"/>
  <c r="H151" i="34"/>
  <c r="H32" i="15"/>
  <c r="I151" i="34"/>
  <c r="I32" i="15" s="1"/>
  <c r="L151" i="34"/>
  <c r="L32" i="15"/>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M26" i="33" s="1"/>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C40" i="32" s="1"/>
  <c r="D39" i="32"/>
  <c r="E39" i="32"/>
  <c r="F39" i="32"/>
  <c r="G39" i="32"/>
  <c r="H39" i="32"/>
  <c r="I39" i="32"/>
  <c r="J39" i="32"/>
  <c r="J40" i="32" s="1"/>
  <c r="K39" i="32"/>
  <c r="K40" i="32" s="1"/>
  <c r="L39" i="32"/>
  <c r="L40" i="32" s="1"/>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c r="N16" i="31"/>
  <c r="O16" i="31" s="1"/>
  <c r="N17" i="31"/>
  <c r="O17" i="31" s="1"/>
  <c r="N18" i="31"/>
  <c r="O18" i="31" s="1"/>
  <c r="N19" i="31"/>
  <c r="O19" i="31" s="1"/>
  <c r="N20" i="31"/>
  <c r="O20" i="31" s="1"/>
  <c r="C33" i="31"/>
  <c r="F33" i="31"/>
  <c r="I33" i="31"/>
  <c r="J33" i="31"/>
  <c r="L33" i="31"/>
  <c r="M33" i="31"/>
  <c r="P33" i="31"/>
  <c r="R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H63" i="31" s="1"/>
  <c r="I46" i="31"/>
  <c r="I63" i="31" s="1"/>
  <c r="J46" i="31"/>
  <c r="J52" i="31" s="1"/>
  <c r="K46" i="31"/>
  <c r="K63" i="31" s="1"/>
  <c r="L46" i="31"/>
  <c r="L52" i="31" s="1"/>
  <c r="M46" i="31"/>
  <c r="P46" i="31"/>
  <c r="Q46" i="31"/>
  <c r="Q63" i="31" s="1"/>
  <c r="R46" i="31"/>
  <c r="R63" i="31" s="1"/>
  <c r="N49" i="31"/>
  <c r="O49" i="31" s="1"/>
  <c r="N50" i="31"/>
  <c r="O50" i="31" s="1"/>
  <c r="N51" i="31"/>
  <c r="O51" i="31" s="1"/>
  <c r="Q52" i="3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D38" i="30" s="1"/>
  <c r="D42" i="30" s="1"/>
  <c r="E36" i="30"/>
  <c r="E38" i="30" s="1"/>
  <c r="E42" i="30" s="1"/>
  <c r="F36" i="30"/>
  <c r="F38" i="30" s="1"/>
  <c r="F42" i="30" s="1"/>
  <c r="G36" i="30"/>
  <c r="H36" i="30"/>
  <c r="I36" i="30"/>
  <c r="J36" i="30"/>
  <c r="J38" i="30" s="1"/>
  <c r="J42" i="30" s="1"/>
  <c r="K36" i="30"/>
  <c r="L36" i="30"/>
  <c r="L38" i="30" s="1"/>
  <c r="L42" i="30" s="1"/>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s="1"/>
  <c r="A10" i="29"/>
  <c r="A33" i="29" s="1"/>
  <c r="C10" i="29"/>
  <c r="D10" i="29"/>
  <c r="E10" i="29"/>
  <c r="F10" i="29"/>
  <c r="G10" i="29"/>
  <c r="H10" i="29"/>
  <c r="I10" i="29"/>
  <c r="J10" i="29"/>
  <c r="K10" i="29"/>
  <c r="L10" i="29"/>
  <c r="M10" i="29"/>
  <c r="A11" i="29"/>
  <c r="A34" i="29" s="1"/>
  <c r="A12" i="29"/>
  <c r="A35" i="29"/>
  <c r="A13" i="29"/>
  <c r="A36" i="29" s="1"/>
  <c r="A14" i="29"/>
  <c r="A37" i="29"/>
  <c r="A15" i="29"/>
  <c r="A38" i="29" s="1"/>
  <c r="A16" i="29"/>
  <c r="A39" i="29"/>
  <c r="C16" i="29"/>
  <c r="D16" i="29"/>
  <c r="E16" i="29"/>
  <c r="F16" i="29"/>
  <c r="G16" i="29"/>
  <c r="H16" i="29"/>
  <c r="I16" i="29"/>
  <c r="J16" i="29"/>
  <c r="K16" i="29"/>
  <c r="L16" i="29"/>
  <c r="M16" i="29"/>
  <c r="A17" i="29"/>
  <c r="A40" i="29" s="1"/>
  <c r="A18" i="29"/>
  <c r="A41" i="29"/>
  <c r="A19" i="29"/>
  <c r="A42" i="29" s="1"/>
  <c r="A20" i="29"/>
  <c r="A43" i="29"/>
  <c r="C20" i="29"/>
  <c r="D20" i="29"/>
  <c r="E20" i="29"/>
  <c r="F20" i="29"/>
  <c r="G20" i="29"/>
  <c r="H20" i="29"/>
  <c r="I20" i="29"/>
  <c r="J20" i="29"/>
  <c r="K20" i="29"/>
  <c r="L20" i="29"/>
  <c r="M20" i="29"/>
  <c r="A21" i="29"/>
  <c r="A44" i="29" s="1"/>
  <c r="A22" i="29"/>
  <c r="A45" i="29"/>
  <c r="A23" i="29"/>
  <c r="A46" i="29" s="1"/>
  <c r="A24" i="29"/>
  <c r="A47" i="29"/>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H49" i="29" s="1"/>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H41" i="28" s="1"/>
  <c r="I21" i="28"/>
  <c r="J21" i="28"/>
  <c r="K21" i="28"/>
  <c r="L21" i="28"/>
  <c r="M21" i="28"/>
  <c r="A23" i="28"/>
  <c r="C39" i="28"/>
  <c r="C41" i="28" s="1"/>
  <c r="D39" i="28"/>
  <c r="E39" i="28"/>
  <c r="F39" i="28"/>
  <c r="G39" i="28"/>
  <c r="H39" i="28"/>
  <c r="I39" i="28"/>
  <c r="J39" i="28"/>
  <c r="K39" i="28"/>
  <c r="L39" i="28"/>
  <c r="M39" i="28"/>
  <c r="A42" i="28"/>
  <c r="B2" i="27"/>
  <c r="C3" i="27"/>
  <c r="D3" i="27"/>
  <c r="E3" i="27"/>
  <c r="F3" i="27"/>
  <c r="G3" i="27"/>
  <c r="H3" i="27"/>
  <c r="I3" i="27"/>
  <c r="J3" i="27"/>
  <c r="K3" i="27"/>
  <c r="J7" i="27"/>
  <c r="K7" i="27"/>
  <c r="L7" i="27" s="1"/>
  <c r="J8" i="27"/>
  <c r="K8" i="27"/>
  <c r="L8" i="27"/>
  <c r="J9" i="27"/>
  <c r="K9" i="27"/>
  <c r="L9" i="27"/>
  <c r="J10" i="27"/>
  <c r="K10" i="27" s="1"/>
  <c r="L10" i="27" s="1"/>
  <c r="J11" i="27"/>
  <c r="K11" i="27"/>
  <c r="J12" i="27"/>
  <c r="K12" i="27"/>
  <c r="J13" i="27"/>
  <c r="K13" i="27"/>
  <c r="C14" i="27"/>
  <c r="D14" i="27"/>
  <c r="D15" i="27" s="1"/>
  <c r="G14" i="27"/>
  <c r="I14" i="27"/>
  <c r="J18" i="27"/>
  <c r="K18" i="27"/>
  <c r="L18" i="27" s="1"/>
  <c r="J19" i="27"/>
  <c r="K19" i="27"/>
  <c r="L19" i="27" s="1"/>
  <c r="J20" i="27"/>
  <c r="K20" i="27"/>
  <c r="L20" i="27"/>
  <c r="J21" i="27"/>
  <c r="K21" i="27" s="1"/>
  <c r="L21" i="27" s="1"/>
  <c r="J22" i="27"/>
  <c r="K22" i="27" s="1"/>
  <c r="J23" i="27"/>
  <c r="K23" i="27" s="1"/>
  <c r="L23" i="27" s="1"/>
  <c r="J24" i="27"/>
  <c r="K24" i="27" s="1"/>
  <c r="L24" i="27" s="1"/>
  <c r="J25" i="27"/>
  <c r="K25" i="27"/>
  <c r="J26" i="27"/>
  <c r="K26" i="27" s="1"/>
  <c r="J27" i="27"/>
  <c r="K27" i="27" s="1"/>
  <c r="J28" i="27"/>
  <c r="K28" i="27" s="1"/>
  <c r="L28" i="27" s="1"/>
  <c r="J29" i="27"/>
  <c r="K29" i="27" s="1"/>
  <c r="L29" i="27" s="1"/>
  <c r="C30" i="27"/>
  <c r="D30" i="27"/>
  <c r="E30" i="27"/>
  <c r="G30" i="27"/>
  <c r="I30" i="27"/>
  <c r="I103" i="27" s="1"/>
  <c r="A31" i="27"/>
  <c r="J34" i="27"/>
  <c r="K34" i="27"/>
  <c r="J35" i="27"/>
  <c r="K35" i="27" s="1"/>
  <c r="L35" i="27" s="1"/>
  <c r="J36" i="27"/>
  <c r="K36" i="27" s="1"/>
  <c r="L36" i="27" s="1"/>
  <c r="J37" i="27"/>
  <c r="K37" i="27"/>
  <c r="L37" i="27" s="1"/>
  <c r="J38" i="27"/>
  <c r="K38" i="27"/>
  <c r="J39" i="27"/>
  <c r="K39" i="27" s="1"/>
  <c r="J40" i="27"/>
  <c r="K40" i="27"/>
  <c r="L40" i="27"/>
  <c r="J41" i="27"/>
  <c r="K41" i="27" s="1"/>
  <c r="J42" i="27"/>
  <c r="K42" i="27" s="1"/>
  <c r="J43" i="27"/>
  <c r="K43" i="27" s="1"/>
  <c r="L43" i="27" s="1"/>
  <c r="J44" i="27"/>
  <c r="K44" i="27" s="1"/>
  <c r="L44" i="27" s="1"/>
  <c r="J45" i="27"/>
  <c r="C46" i="27"/>
  <c r="C48" i="27" s="1"/>
  <c r="D46" i="27"/>
  <c r="E46" i="27"/>
  <c r="F46" i="27"/>
  <c r="F103" i="27"/>
  <c r="G46" i="27"/>
  <c r="H46" i="27"/>
  <c r="I46" i="27"/>
  <c r="A47" i="27"/>
  <c r="J52" i="27"/>
  <c r="K52" i="27" s="1"/>
  <c r="L52" i="27"/>
  <c r="J53" i="27"/>
  <c r="K53" i="27" s="1"/>
  <c r="L53" i="27" s="1"/>
  <c r="J54" i="27"/>
  <c r="K54" i="27" s="1"/>
  <c r="J55" i="27"/>
  <c r="K55" i="27" s="1"/>
  <c r="J56" i="27"/>
  <c r="K56" i="27"/>
  <c r="J57" i="27"/>
  <c r="K57" i="27"/>
  <c r="J58" i="27"/>
  <c r="K58" i="27"/>
  <c r="J59" i="27"/>
  <c r="K59" i="27"/>
  <c r="L59" i="27"/>
  <c r="J60" i="27"/>
  <c r="K60" i="27" s="1"/>
  <c r="J61" i="27"/>
  <c r="K61" i="27"/>
  <c r="L61" i="27" s="1"/>
  <c r="J62" i="27"/>
  <c r="K62" i="27"/>
  <c r="L62" i="27"/>
  <c r="J63" i="27"/>
  <c r="K63" i="27"/>
  <c r="J64" i="27"/>
  <c r="K64" i="27"/>
  <c r="L64" i="27" s="1"/>
  <c r="C65" i="27"/>
  <c r="D65" i="27"/>
  <c r="E65" i="27"/>
  <c r="F65" i="27"/>
  <c r="G65" i="27"/>
  <c r="H65" i="27"/>
  <c r="I65" i="27"/>
  <c r="A66" i="27"/>
  <c r="J69" i="27"/>
  <c r="K69" i="27"/>
  <c r="L69" i="27" s="1"/>
  <c r="J70" i="27"/>
  <c r="K70" i="27"/>
  <c r="J71" i="27"/>
  <c r="K71" i="27" s="1"/>
  <c r="L71" i="27" s="1"/>
  <c r="J72" i="27"/>
  <c r="K72" i="27" s="1"/>
  <c r="J73" i="27"/>
  <c r="K73" i="27"/>
  <c r="J74" i="27"/>
  <c r="K74" i="27" s="1"/>
  <c r="J75" i="27"/>
  <c r="K75" i="27"/>
  <c r="J76" i="27"/>
  <c r="K76" i="27" s="1"/>
  <c r="L76" i="27" s="1"/>
  <c r="J77" i="27"/>
  <c r="K77" i="27"/>
  <c r="J78" i="27"/>
  <c r="J79" i="27"/>
  <c r="K79" i="27"/>
  <c r="L79" i="27"/>
  <c r="J80" i="27"/>
  <c r="K80" i="27" s="1"/>
  <c r="L80" i="27" s="1"/>
  <c r="C81" i="27"/>
  <c r="D81" i="27"/>
  <c r="E81" i="27"/>
  <c r="F81" i="27"/>
  <c r="F99" i="27" s="1"/>
  <c r="G81" i="27"/>
  <c r="H81" i="27"/>
  <c r="I81" i="27"/>
  <c r="A82" i="27"/>
  <c r="J85" i="27"/>
  <c r="K85" i="27" s="1"/>
  <c r="J86" i="27"/>
  <c r="J87" i="27"/>
  <c r="K87" i="27"/>
  <c r="J88" i="27"/>
  <c r="K88" i="27" s="1"/>
  <c r="L88" i="27" s="1"/>
  <c r="J89" i="27"/>
  <c r="K89" i="27" s="1"/>
  <c r="J90" i="27"/>
  <c r="K90" i="27"/>
  <c r="L90" i="27"/>
  <c r="J91" i="27"/>
  <c r="K91" i="27" s="1"/>
  <c r="L91" i="27" s="1"/>
  <c r="J92" i="27"/>
  <c r="K92" i="27" s="1"/>
  <c r="J93" i="27"/>
  <c r="K93" i="27"/>
  <c r="J94" i="27"/>
  <c r="K94" i="27" s="1"/>
  <c r="L94" i="27" s="1"/>
  <c r="J95" i="27"/>
  <c r="K95" i="27"/>
  <c r="L95" i="27"/>
  <c r="J96" i="27"/>
  <c r="K96" i="27"/>
  <c r="L96" i="27"/>
  <c r="C97" i="27"/>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c r="C10" i="26"/>
  <c r="D10" i="26"/>
  <c r="D30" i="26" s="1"/>
  <c r="D57" i="26"/>
  <c r="E10" i="26"/>
  <c r="F10" i="26"/>
  <c r="G10" i="26"/>
  <c r="H10" i="26"/>
  <c r="H30" i="26" s="1"/>
  <c r="I10" i="26"/>
  <c r="L10" i="26"/>
  <c r="M10" i="26"/>
  <c r="J13" i="26"/>
  <c r="K13" i="26"/>
  <c r="J14" i="26"/>
  <c r="K14" i="26" s="1"/>
  <c r="K16" i="26" s="1"/>
  <c r="J15" i="26"/>
  <c r="K15" i="26"/>
  <c r="C16" i="26"/>
  <c r="D16" i="26"/>
  <c r="E16" i="26"/>
  <c r="F16" i="26"/>
  <c r="F30" i="26" s="1"/>
  <c r="G16" i="26"/>
  <c r="H16" i="26"/>
  <c r="I16" i="26"/>
  <c r="L16" i="26"/>
  <c r="M16" i="26"/>
  <c r="J19" i="26"/>
  <c r="J20" i="26"/>
  <c r="K20" i="26" s="1"/>
  <c r="J21" i="26"/>
  <c r="K21" i="26"/>
  <c r="C22" i="26"/>
  <c r="D22" i="26"/>
  <c r="E22" i="26"/>
  <c r="F22" i="26"/>
  <c r="G22" i="26"/>
  <c r="H22" i="26"/>
  <c r="I22" i="26"/>
  <c r="I30" i="26" s="1"/>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s="1"/>
  <c r="J40" i="26"/>
  <c r="K40" i="26"/>
  <c r="J41" i="26"/>
  <c r="K41" i="26" s="1"/>
  <c r="C42" i="26"/>
  <c r="D42" i="26"/>
  <c r="E42" i="26"/>
  <c r="F42" i="26"/>
  <c r="G42" i="26"/>
  <c r="H42" i="26"/>
  <c r="I42" i="26"/>
  <c r="L42" i="26"/>
  <c r="M42" i="26"/>
  <c r="J45" i="26"/>
  <c r="K45" i="26" s="1"/>
  <c r="J48" i="26"/>
  <c r="J46" i="26"/>
  <c r="K46" i="26"/>
  <c r="J47" i="26"/>
  <c r="K47" i="26" s="1"/>
  <c r="C48" i="26"/>
  <c r="D48" i="26"/>
  <c r="E48" i="26"/>
  <c r="F48" i="26"/>
  <c r="G48" i="26"/>
  <c r="H48" i="26"/>
  <c r="I48" i="26"/>
  <c r="L48" i="26"/>
  <c r="M48" i="26"/>
  <c r="J51" i="26"/>
  <c r="K51" i="26" s="1"/>
  <c r="J54"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G27" i="25" s="1"/>
  <c r="J10" i="25"/>
  <c r="K10" i="25"/>
  <c r="H11" i="25"/>
  <c r="I11" i="25"/>
  <c r="H13" i="25"/>
  <c r="A14" i="25"/>
  <c r="H14" i="25"/>
  <c r="I14" i="25"/>
  <c r="A15" i="25"/>
  <c r="A20" i="25" s="1"/>
  <c r="C15" i="25"/>
  <c r="D15" i="25"/>
  <c r="E15" i="25"/>
  <c r="E27" i="25" s="1"/>
  <c r="F15" i="25"/>
  <c r="G15" i="25"/>
  <c r="J15" i="25"/>
  <c r="K15" i="25"/>
  <c r="A16" i="25"/>
  <c r="H16" i="25"/>
  <c r="I16" i="25"/>
  <c r="A18" i="25"/>
  <c r="H18" i="25"/>
  <c r="I18" i="25" s="1"/>
  <c r="H19" i="25"/>
  <c r="I19" i="25" s="1"/>
  <c r="C20" i="25"/>
  <c r="D20" i="25"/>
  <c r="E20" i="25"/>
  <c r="F20" i="25"/>
  <c r="G20" i="25"/>
  <c r="J20" i="25"/>
  <c r="K20" i="25"/>
  <c r="H21" i="25"/>
  <c r="A23" i="25"/>
  <c r="H23" i="25"/>
  <c r="I23" i="25"/>
  <c r="H24" i="25"/>
  <c r="I24" i="25" s="1"/>
  <c r="C25" i="25"/>
  <c r="D25" i="25"/>
  <c r="E25" i="25"/>
  <c r="F25" i="25"/>
  <c r="G25" i="25"/>
  <c r="J25" i="25"/>
  <c r="K25" i="25"/>
  <c r="H26" i="25"/>
  <c r="I26" i="25" s="1"/>
  <c r="C28" i="25"/>
  <c r="C55" i="25" s="1"/>
  <c r="D28" i="25"/>
  <c r="D55" i="25" s="1"/>
  <c r="E28" i="25"/>
  <c r="F28" i="25"/>
  <c r="F55" i="25" s="1"/>
  <c r="G28" i="25"/>
  <c r="G55" i="25" s="1"/>
  <c r="J28" i="25"/>
  <c r="K28" i="25"/>
  <c r="K55" i="25" s="1"/>
  <c r="A31" i="25"/>
  <c r="H32" i="25"/>
  <c r="H33" i="25"/>
  <c r="I33" i="25" s="1"/>
  <c r="C34" i="25"/>
  <c r="C51" i="25" s="1"/>
  <c r="D34" i="25"/>
  <c r="D51" i="25"/>
  <c r="E34" i="25"/>
  <c r="F34" i="25"/>
  <c r="G34" i="25"/>
  <c r="J34" i="25"/>
  <c r="J51" i="25" s="1"/>
  <c r="K34" i="25"/>
  <c r="H35" i="25"/>
  <c r="I35" i="25"/>
  <c r="H37" i="25"/>
  <c r="I37" i="25" s="1"/>
  <c r="A38" i="25"/>
  <c r="H38" i="25"/>
  <c r="A39" i="25"/>
  <c r="A44" i="25" s="1"/>
  <c r="C39" i="25"/>
  <c r="D39" i="25"/>
  <c r="E39" i="25"/>
  <c r="F39" i="25"/>
  <c r="G39" i="25"/>
  <c r="J39" i="25"/>
  <c r="K39" i="25"/>
  <c r="A40" i="25"/>
  <c r="A45" i="25"/>
  <c r="H40" i="25"/>
  <c r="I40" i="25" s="1"/>
  <c r="A42" i="25"/>
  <c r="H42" i="25"/>
  <c r="A43" i="25"/>
  <c r="H43" i="25"/>
  <c r="I43" i="25"/>
  <c r="C44" i="25"/>
  <c r="D44" i="25"/>
  <c r="E44" i="25"/>
  <c r="F44" i="25"/>
  <c r="G44" i="25"/>
  <c r="J44" i="25"/>
  <c r="K44" i="25"/>
  <c r="H45" i="25"/>
  <c r="I45" i="25"/>
  <c r="A47" i="25"/>
  <c r="H47" i="25"/>
  <c r="A48" i="25"/>
  <c r="H48" i="25"/>
  <c r="I48" i="25" s="1"/>
  <c r="C49" i="25"/>
  <c r="D49" i="25"/>
  <c r="E49" i="25"/>
  <c r="F49" i="25"/>
  <c r="G49" i="25"/>
  <c r="J49" i="25"/>
  <c r="K49" i="25"/>
  <c r="H50" i="25"/>
  <c r="I50" i="25" s="1"/>
  <c r="C52" i="25"/>
  <c r="D52" i="25"/>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s="1"/>
  <c r="A14" i="24"/>
  <c r="H14" i="24"/>
  <c r="I14" i="24"/>
  <c r="A15" i="24"/>
  <c r="H15" i="24"/>
  <c r="I15" i="24"/>
  <c r="A16" i="24"/>
  <c r="H16" i="24"/>
  <c r="I16" i="24"/>
  <c r="C17" i="24"/>
  <c r="D17" i="24"/>
  <c r="E17" i="24"/>
  <c r="F17" i="24"/>
  <c r="G17" i="24"/>
  <c r="J17" i="24"/>
  <c r="K17" i="24"/>
  <c r="A18" i="24"/>
  <c r="H18" i="24"/>
  <c r="I18" i="24" s="1"/>
  <c r="A19" i="24"/>
  <c r="H19" i="24"/>
  <c r="I19" i="24"/>
  <c r="A20" i="24"/>
  <c r="H20" i="24"/>
  <c r="I20" i="24"/>
  <c r="A21" i="24"/>
  <c r="H21" i="24"/>
  <c r="I21" i="24" s="1"/>
  <c r="A22" i="24"/>
  <c r="H22" i="24"/>
  <c r="I22" i="24" s="1"/>
  <c r="C23" i="24"/>
  <c r="D23" i="24"/>
  <c r="E23" i="24"/>
  <c r="E29" i="24" s="1"/>
  <c r="F23" i="24"/>
  <c r="G23" i="24"/>
  <c r="J23" i="24"/>
  <c r="K23" i="24"/>
  <c r="A24" i="24"/>
  <c r="H24" i="24"/>
  <c r="A25" i="24"/>
  <c r="H25" i="24"/>
  <c r="I25" i="24" s="1"/>
  <c r="C26" i="24"/>
  <c r="D26" i="24"/>
  <c r="D29" i="24" s="1"/>
  <c r="E26" i="24"/>
  <c r="F26" i="24"/>
  <c r="G26" i="24"/>
  <c r="A27" i="24"/>
  <c r="H27" i="24"/>
  <c r="I27" i="24" s="1"/>
  <c r="I26" i="24" s="1"/>
  <c r="A28" i="24"/>
  <c r="H28" i="24"/>
  <c r="I28" i="24" s="1"/>
  <c r="C32" i="24"/>
  <c r="D32" i="24"/>
  <c r="D48" i="24" s="1"/>
  <c r="E32" i="24"/>
  <c r="F32" i="24"/>
  <c r="G32" i="24"/>
  <c r="J32" i="24"/>
  <c r="K32" i="24"/>
  <c r="A33" i="24"/>
  <c r="H33" i="24"/>
  <c r="A34" i="24"/>
  <c r="H34" i="24"/>
  <c r="A35" i="24"/>
  <c r="H35" i="24"/>
  <c r="I35" i="24"/>
  <c r="A36" i="24"/>
  <c r="H36" i="24"/>
  <c r="I36" i="24" s="1"/>
  <c r="A37" i="24"/>
  <c r="H37" i="24"/>
  <c r="I37" i="24" s="1"/>
  <c r="A38" i="24"/>
  <c r="H38" i="24"/>
  <c r="I38" i="24"/>
  <c r="C39" i="24"/>
  <c r="D39" i="24"/>
  <c r="E39" i="24"/>
  <c r="F39" i="24"/>
  <c r="G39" i="24"/>
  <c r="J39" i="24"/>
  <c r="K39" i="24"/>
  <c r="A40" i="24"/>
  <c r="H40" i="24"/>
  <c r="I40" i="24" s="1"/>
  <c r="A41" i="24"/>
  <c r="H41" i="24"/>
  <c r="I41" i="24" s="1"/>
  <c r="C42" i="24"/>
  <c r="D42" i="24"/>
  <c r="E42" i="24"/>
  <c r="F42" i="24"/>
  <c r="G42" i="24"/>
  <c r="J42" i="24"/>
  <c r="K42" i="24"/>
  <c r="K48" i="24" s="1"/>
  <c r="A43" i="24"/>
  <c r="H43" i="24"/>
  <c r="A44" i="24"/>
  <c r="H44" i="24"/>
  <c r="I44" i="24" s="1"/>
  <c r="C45" i="24"/>
  <c r="D45" i="24"/>
  <c r="E45" i="24"/>
  <c r="F45" i="24"/>
  <c r="G45" i="24"/>
  <c r="J45" i="24"/>
  <c r="K45" i="24"/>
  <c r="A46" i="24"/>
  <c r="H46" i="24"/>
  <c r="H45" i="24" s="1"/>
  <c r="I46" i="24"/>
  <c r="I45" i="24" s="1"/>
  <c r="A47" i="24"/>
  <c r="H47" i="24"/>
  <c r="I47" i="24"/>
  <c r="A51" i="24"/>
  <c r="A2" i="23"/>
  <c r="B2" i="23"/>
  <c r="C3" i="23"/>
  <c r="D3" i="23"/>
  <c r="E3" i="23"/>
  <c r="F3" i="23"/>
  <c r="G3" i="23"/>
  <c r="H3" i="23"/>
  <c r="I3" i="23"/>
  <c r="J3" i="23"/>
  <c r="K3" i="23"/>
  <c r="C9" i="23"/>
  <c r="D9" i="23"/>
  <c r="D29" i="23" s="1"/>
  <c r="E9" i="23"/>
  <c r="F9" i="23"/>
  <c r="G9" i="23"/>
  <c r="J9" i="23"/>
  <c r="J29" i="23" s="1"/>
  <c r="K9" i="23"/>
  <c r="H10" i="23"/>
  <c r="I10" i="23" s="1"/>
  <c r="H11" i="23"/>
  <c r="H12" i="23"/>
  <c r="I12" i="23"/>
  <c r="H13" i="23"/>
  <c r="I13" i="23"/>
  <c r="H14" i="23"/>
  <c r="I14" i="23"/>
  <c r="H15" i="23"/>
  <c r="I15" i="23"/>
  <c r="H16" i="23"/>
  <c r="I16" i="23"/>
  <c r="C17" i="23"/>
  <c r="D17" i="23"/>
  <c r="E17" i="23"/>
  <c r="F17" i="23"/>
  <c r="G17" i="23"/>
  <c r="G29" i="23" s="1"/>
  <c r="J17" i="23"/>
  <c r="K17" i="23"/>
  <c r="H18" i="23"/>
  <c r="I18" i="23"/>
  <c r="H19" i="23"/>
  <c r="H20" i="23"/>
  <c r="I20" i="23" s="1"/>
  <c r="H21" i="23"/>
  <c r="I21" i="23" s="1"/>
  <c r="H22" i="23"/>
  <c r="I22" i="23" s="1"/>
  <c r="C23" i="23"/>
  <c r="D23" i="23"/>
  <c r="E23" i="23"/>
  <c r="F23" i="23"/>
  <c r="G23" i="23"/>
  <c r="J23" i="23"/>
  <c r="K23" i="23"/>
  <c r="H24" i="23"/>
  <c r="I24" i="23"/>
  <c r="H25" i="23"/>
  <c r="I25" i="23"/>
  <c r="C26" i="23"/>
  <c r="D26" i="23"/>
  <c r="E26" i="23"/>
  <c r="F26" i="23"/>
  <c r="G26" i="23"/>
  <c r="H27" i="23"/>
  <c r="H28" i="23"/>
  <c r="I28" i="23"/>
  <c r="A32" i="23"/>
  <c r="C32" i="23"/>
  <c r="C48" i="23" s="1"/>
  <c r="D32" i="23"/>
  <c r="D48" i="23" s="1"/>
  <c r="E32" i="23"/>
  <c r="F32" i="23"/>
  <c r="G32" i="23"/>
  <c r="J32" i="23"/>
  <c r="K32" i="23"/>
  <c r="H33" i="23"/>
  <c r="I33" i="23"/>
  <c r="H34" i="23"/>
  <c r="I34" i="23"/>
  <c r="H35" i="23"/>
  <c r="I35" i="23"/>
  <c r="H36" i="23"/>
  <c r="I36" i="23"/>
  <c r="H37" i="23"/>
  <c r="I37" i="23"/>
  <c r="H38" i="23"/>
  <c r="I38" i="23"/>
  <c r="A39" i="23"/>
  <c r="C39" i="23"/>
  <c r="D39" i="23"/>
  <c r="E39" i="23"/>
  <c r="F39" i="23"/>
  <c r="G39" i="23"/>
  <c r="J39" i="23"/>
  <c r="K39" i="23"/>
  <c r="H40" i="23"/>
  <c r="I40" i="23" s="1"/>
  <c r="H41" i="23"/>
  <c r="A42" i="23"/>
  <c r="C42" i="23"/>
  <c r="D42" i="23"/>
  <c r="E42" i="23"/>
  <c r="F42" i="23"/>
  <c r="G42" i="23"/>
  <c r="J42" i="23"/>
  <c r="K42" i="23"/>
  <c r="H43" i="23"/>
  <c r="H42" i="23" s="1"/>
  <c r="I43" i="23"/>
  <c r="H44" i="23"/>
  <c r="I44" i="23" s="1"/>
  <c r="A45" i="23"/>
  <c r="C45" i="23"/>
  <c r="D45" i="23"/>
  <c r="E45" i="23"/>
  <c r="F45" i="23"/>
  <c r="F48" i="23" s="1"/>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A2" i="18"/>
  <c r="B2" i="18"/>
  <c r="C3" i="18"/>
  <c r="D3" i="18"/>
  <c r="E3" i="18"/>
  <c r="F3" i="18"/>
  <c r="G3" i="18"/>
  <c r="H3" i="18"/>
  <c r="I3" i="18"/>
  <c r="J3" i="18"/>
  <c r="K3" i="18"/>
  <c r="L3" i="18"/>
  <c r="M3" i="18"/>
  <c r="J8" i="18"/>
  <c r="J9" i="18"/>
  <c r="K9" i="18" s="1"/>
  <c r="A10" i="18"/>
  <c r="C10" i="18"/>
  <c r="C9" i="12"/>
  <c r="D10" i="18"/>
  <c r="E10" i="18"/>
  <c r="F10" i="18"/>
  <c r="G10" i="18"/>
  <c r="H10" i="18"/>
  <c r="H9" i="12"/>
  <c r="I10" i="18"/>
  <c r="L10" i="18"/>
  <c r="L9" i="12" s="1"/>
  <c r="M10" i="18"/>
  <c r="A12" i="18"/>
  <c r="J12" i="18"/>
  <c r="A14" i="18"/>
  <c r="J16" i="18"/>
  <c r="K16" i="18" s="1"/>
  <c r="L16" i="18"/>
  <c r="L19" i="18" s="1"/>
  <c r="L13" i="18" s="1"/>
  <c r="L14" i="18" s="1"/>
  <c r="L10" i="12" s="1"/>
  <c r="M16" i="18"/>
  <c r="M19" i="18"/>
  <c r="M13" i="18" s="1"/>
  <c r="M14" i="18" s="1"/>
  <c r="M10" i="12" s="1"/>
  <c r="K42" i="22" s="1"/>
  <c r="J17" i="18"/>
  <c r="K17" i="18" s="1"/>
  <c r="J18" i="18"/>
  <c r="K18" i="18" s="1"/>
  <c r="C19" i="18"/>
  <c r="C13" i="18" s="1"/>
  <c r="C14" i="18" s="1"/>
  <c r="C10" i="12" s="1"/>
  <c r="D19" i="18"/>
  <c r="D13" i="18" s="1"/>
  <c r="E19" i="18"/>
  <c r="E13" i="18" s="1"/>
  <c r="F19" i="18"/>
  <c r="F13" i="18" s="1"/>
  <c r="F14" i="18" s="1"/>
  <c r="F10" i="12" s="1"/>
  <c r="F14" i="12" s="1"/>
  <c r="G19" i="18"/>
  <c r="G13" i="18" s="1"/>
  <c r="H19" i="18"/>
  <c r="H13" i="18" s="1"/>
  <c r="H14" i="18" s="1"/>
  <c r="H10" i="12" s="1"/>
  <c r="I19" i="18"/>
  <c r="I13" i="18" s="1"/>
  <c r="I14" i="18" s="1"/>
  <c r="I10" i="12" s="1"/>
  <c r="J21" i="18"/>
  <c r="K21" i="18" s="1"/>
  <c r="K24" i="18" s="1"/>
  <c r="J22" i="18"/>
  <c r="J23" i="18"/>
  <c r="A24" i="18"/>
  <c r="C24" i="18"/>
  <c r="D24" i="18"/>
  <c r="D21" i="12" s="1"/>
  <c r="D26" i="12" s="1"/>
  <c r="C38" i="7" s="1"/>
  <c r="E24" i="18"/>
  <c r="E21" i="12" s="1"/>
  <c r="E26" i="12" s="1"/>
  <c r="F24" i="18"/>
  <c r="G24" i="18"/>
  <c r="H24" i="18"/>
  <c r="I24" i="18"/>
  <c r="L24" i="18"/>
  <c r="L21" i="12"/>
  <c r="L26" i="12" s="1"/>
  <c r="M24" i="18"/>
  <c r="M21" i="12" s="1"/>
  <c r="M26" i="12" s="1"/>
  <c r="L38" i="7" s="1"/>
  <c r="J28" i="18"/>
  <c r="J29" i="18"/>
  <c r="K29" i="18" s="1"/>
  <c r="A30" i="18"/>
  <c r="C30" i="18"/>
  <c r="D30" i="18"/>
  <c r="D32" i="12" s="1"/>
  <c r="E30" i="18"/>
  <c r="F30" i="18"/>
  <c r="F32" i="12"/>
  <c r="G30" i="18"/>
  <c r="G32" i="12"/>
  <c r="H30" i="18"/>
  <c r="H32" i="12"/>
  <c r="I30" i="18"/>
  <c r="L30" i="18"/>
  <c r="L32" i="12" s="1"/>
  <c r="M30" i="18"/>
  <c r="J32" i="18"/>
  <c r="J34" i="18"/>
  <c r="K34" i="18"/>
  <c r="J35" i="18"/>
  <c r="K35" i="18"/>
  <c r="A36" i="18"/>
  <c r="C34" i="12"/>
  <c r="D36" i="18"/>
  <c r="D34" i="12"/>
  <c r="E36" i="18"/>
  <c r="F36" i="18"/>
  <c r="G36" i="18"/>
  <c r="H36" i="18"/>
  <c r="H34" i="12" s="1"/>
  <c r="I36" i="18"/>
  <c r="I34" i="12" s="1"/>
  <c r="L36" i="18"/>
  <c r="L34" i="12" s="1"/>
  <c r="M36" i="18"/>
  <c r="M34" i="12" s="1"/>
  <c r="J38" i="18"/>
  <c r="J40" i="18" s="1"/>
  <c r="J39" i="18"/>
  <c r="K39" i="18" s="1"/>
  <c r="A40" i="18"/>
  <c r="C40" i="18"/>
  <c r="C39" i="12"/>
  <c r="D40" i="18"/>
  <c r="E40" i="18"/>
  <c r="F40" i="18"/>
  <c r="G40" i="18"/>
  <c r="H40" i="18"/>
  <c r="I40" i="18"/>
  <c r="I39" i="12" s="1"/>
  <c r="L40" i="18"/>
  <c r="L39" i="12"/>
  <c r="M40" i="18"/>
  <c r="M39" i="12" s="1"/>
  <c r="J42" i="18"/>
  <c r="K42" i="18"/>
  <c r="J43" i="18"/>
  <c r="K43" i="18"/>
  <c r="J44" i="18"/>
  <c r="J45" i="18"/>
  <c r="K45" i="18" s="1"/>
  <c r="A46" i="18"/>
  <c r="C46" i="18"/>
  <c r="C40" i="12"/>
  <c r="D46" i="18"/>
  <c r="E46" i="18"/>
  <c r="F46" i="18"/>
  <c r="F40" i="12" s="1"/>
  <c r="F41" i="12" s="1"/>
  <c r="E40" i="7" s="1"/>
  <c r="G46" i="18"/>
  <c r="H46" i="18"/>
  <c r="I46" i="18"/>
  <c r="I40" i="12" s="1"/>
  <c r="L46" i="18"/>
  <c r="M46" i="18"/>
  <c r="A50" i="18"/>
  <c r="J50" i="18"/>
  <c r="K50" i="18"/>
  <c r="J51" i="18"/>
  <c r="K51" i="18"/>
  <c r="J52" i="18"/>
  <c r="K52" i="18"/>
  <c r="J53" i="18"/>
  <c r="K53" i="18"/>
  <c r="J54" i="18"/>
  <c r="K54" i="18"/>
  <c r="C55" i="18"/>
  <c r="C63" i="18" s="1"/>
  <c r="D55" i="18"/>
  <c r="D47" i="12" s="1"/>
  <c r="D50" i="12" s="1"/>
  <c r="C41" i="7" s="1"/>
  <c r="E55" i="18"/>
  <c r="F55" i="18"/>
  <c r="F63" i="18"/>
  <c r="G55" i="18"/>
  <c r="H55" i="18"/>
  <c r="I55" i="18"/>
  <c r="L55" i="18"/>
  <c r="L63" i="18" s="1"/>
  <c r="M55" i="18"/>
  <c r="M47" i="12" s="1"/>
  <c r="M50" i="12" s="1"/>
  <c r="L41" i="7" s="1"/>
  <c r="J57" i="18"/>
  <c r="K57" i="18" s="1"/>
  <c r="K53" i="14" s="1"/>
  <c r="J58" i="18"/>
  <c r="K58" i="18"/>
  <c r="K54" i="14" s="1"/>
  <c r="J59" i="18"/>
  <c r="K59" i="18" s="1"/>
  <c r="K55" i="14" s="1"/>
  <c r="J60" i="18"/>
  <c r="K60" i="18"/>
  <c r="K56" i="14" s="1"/>
  <c r="J61" i="18"/>
  <c r="K61" i="18" s="1"/>
  <c r="C62" i="18"/>
  <c r="D62" i="18"/>
  <c r="D48" i="12"/>
  <c r="E62" i="18"/>
  <c r="E48" i="12"/>
  <c r="F62" i="18"/>
  <c r="G62" i="18"/>
  <c r="G63" i="18" s="1"/>
  <c r="H62" i="18"/>
  <c r="H48" i="12" s="1"/>
  <c r="I62" i="18"/>
  <c r="L62" i="18"/>
  <c r="M62" i="18"/>
  <c r="J66" i="18"/>
  <c r="K66" i="18" s="1"/>
  <c r="J67" i="18"/>
  <c r="K67" i="18" s="1"/>
  <c r="J68" i="18"/>
  <c r="K68" i="18" s="1"/>
  <c r="A69" i="18"/>
  <c r="A2" i="17"/>
  <c r="B2" i="17"/>
  <c r="C3" i="17"/>
  <c r="D3" i="17"/>
  <c r="E3" i="17"/>
  <c r="F3" i="17"/>
  <c r="G3" i="17"/>
  <c r="H3" i="17"/>
  <c r="I3" i="17"/>
  <c r="J3" i="17"/>
  <c r="K3" i="17"/>
  <c r="L3" i="17"/>
  <c r="M3" i="17"/>
  <c r="J10" i="17"/>
  <c r="J9" i="17"/>
  <c r="K9" i="17"/>
  <c r="K10" i="17" s="1"/>
  <c r="C10" i="17"/>
  <c r="C7" i="10" s="1"/>
  <c r="D10" i="17"/>
  <c r="D7" i="10" s="1"/>
  <c r="C7" i="7" s="1"/>
  <c r="E10" i="17"/>
  <c r="E7" i="10"/>
  <c r="F10" i="17"/>
  <c r="F7" i="10"/>
  <c r="E7" i="7" s="1"/>
  <c r="G10" i="17"/>
  <c r="G7" i="10" s="1"/>
  <c r="F7" i="7" s="1"/>
  <c r="H10" i="17"/>
  <c r="I10" i="17"/>
  <c r="I7" i="10" s="1"/>
  <c r="L10" i="17"/>
  <c r="L7" i="10" s="1"/>
  <c r="K7" i="7" s="1"/>
  <c r="M10" i="17"/>
  <c r="M7" i="10" s="1"/>
  <c r="J13" i="17"/>
  <c r="J14" i="17"/>
  <c r="K14" i="17"/>
  <c r="J19" i="17"/>
  <c r="K19" i="17"/>
  <c r="E9" i="10"/>
  <c r="J25" i="17"/>
  <c r="K25" i="17" s="1"/>
  <c r="J31" i="17"/>
  <c r="K31" i="17" s="1"/>
  <c r="E21" i="10"/>
  <c r="H21" i="10"/>
  <c r="G11" i="7" s="1"/>
  <c r="M21" i="10"/>
  <c r="L11" i="7" s="1"/>
  <c r="J54" i="17"/>
  <c r="J55" i="17"/>
  <c r="K55" i="17"/>
  <c r="J56" i="17"/>
  <c r="K56" i="17"/>
  <c r="J57" i="17"/>
  <c r="K57" i="17"/>
  <c r="J58" i="17"/>
  <c r="J59" i="17"/>
  <c r="K59" i="17" s="1"/>
  <c r="J60" i="17"/>
  <c r="K60" i="17" s="1"/>
  <c r="J61" i="17"/>
  <c r="K61" i="17" s="1"/>
  <c r="J62" i="17"/>
  <c r="K62" i="17" s="1"/>
  <c r="J63" i="17"/>
  <c r="J64" i="17"/>
  <c r="K64" i="17"/>
  <c r="J65" i="17"/>
  <c r="K65" i="17"/>
  <c r="C66" i="17"/>
  <c r="C68" i="17"/>
  <c r="C26" i="10" s="1"/>
  <c r="B13" i="7" s="1"/>
  <c r="D66" i="17"/>
  <c r="D68" i="17" s="1"/>
  <c r="D26" i="10" s="1"/>
  <c r="E66" i="17"/>
  <c r="E68" i="17"/>
  <c r="E26" i="10" s="1"/>
  <c r="D13" i="7" s="1"/>
  <c r="F66" i="17"/>
  <c r="F68" i="17" s="1"/>
  <c r="F26" i="10" s="1"/>
  <c r="E13" i="7" s="1"/>
  <c r="G66" i="17"/>
  <c r="G68" i="17" s="1"/>
  <c r="G26" i="10" s="1"/>
  <c r="H66" i="17"/>
  <c r="H68" i="17"/>
  <c r="I66" i="17"/>
  <c r="I68" i="17"/>
  <c r="I26" i="10" s="1"/>
  <c r="H13" i="7" s="1"/>
  <c r="L66" i="17"/>
  <c r="L68" i="17" s="1"/>
  <c r="L26" i="10" s="1"/>
  <c r="M66" i="17"/>
  <c r="M68" i="17" s="1"/>
  <c r="M26" i="10" s="1"/>
  <c r="R25" i="30" s="1"/>
  <c r="J67" i="17"/>
  <c r="K67" i="17"/>
  <c r="A68" i="17"/>
  <c r="J75" i="17"/>
  <c r="K75" i="17" s="1"/>
  <c r="J76" i="17"/>
  <c r="K76" i="17" s="1"/>
  <c r="A77" i="17"/>
  <c r="J80" i="17"/>
  <c r="K80" i="17" s="1"/>
  <c r="K84" i="17" s="1"/>
  <c r="J81" i="17"/>
  <c r="K81" i="17"/>
  <c r="J82" i="17"/>
  <c r="K82" i="17"/>
  <c r="J83" i="17"/>
  <c r="K83" i="17"/>
  <c r="A84" i="17"/>
  <c r="C84" i="17"/>
  <c r="C29" i="10" s="1"/>
  <c r="B15" i="7" s="1"/>
  <c r="D84" i="17"/>
  <c r="E84" i="17"/>
  <c r="E29" i="10" s="1"/>
  <c r="F84" i="17"/>
  <c r="F29" i="10"/>
  <c r="E15" i="7" s="1"/>
  <c r="G84" i="17"/>
  <c r="G29" i="10" s="1"/>
  <c r="H84" i="17"/>
  <c r="H29" i="10" s="1"/>
  <c r="G15" i="7" s="1"/>
  <c r="I84" i="17"/>
  <c r="I29" i="10"/>
  <c r="L84" i="17"/>
  <c r="L29" i="10" s="1"/>
  <c r="M84" i="17"/>
  <c r="J87" i="17"/>
  <c r="J88" i="17"/>
  <c r="K88" i="17" s="1"/>
  <c r="C89" i="17"/>
  <c r="C31" i="10" s="1"/>
  <c r="D89" i="17"/>
  <c r="E89" i="17"/>
  <c r="F89" i="17"/>
  <c r="F31" i="10" s="1"/>
  <c r="G89" i="17"/>
  <c r="G31" i="10" s="1"/>
  <c r="H89" i="17"/>
  <c r="H31" i="10" s="1"/>
  <c r="G17" i="7" s="1"/>
  <c r="I89" i="17"/>
  <c r="I31" i="10"/>
  <c r="H17" i="7" s="1"/>
  <c r="L89" i="17"/>
  <c r="L31" i="10" s="1"/>
  <c r="Q30" i="30" s="1"/>
  <c r="M89" i="17"/>
  <c r="J120" i="17"/>
  <c r="J121" i="17"/>
  <c r="D128" i="17"/>
  <c r="D33" i="10"/>
  <c r="G128" i="17"/>
  <c r="G33" i="10"/>
  <c r="J124" i="17"/>
  <c r="K124" i="17"/>
  <c r="J125" i="17"/>
  <c r="K125" i="17"/>
  <c r="J126" i="17"/>
  <c r="K126" i="17"/>
  <c r="J127" i="17"/>
  <c r="K127" i="17"/>
  <c r="J131" i="17"/>
  <c r="J132" i="17"/>
  <c r="K132" i="17"/>
  <c r="J133" i="17"/>
  <c r="K133" i="17" s="1"/>
  <c r="J134" i="17"/>
  <c r="K134" i="17" s="1"/>
  <c r="J135" i="17"/>
  <c r="K135" i="17" s="1"/>
  <c r="H35" i="10"/>
  <c r="A166" i="17"/>
  <c r="A2" i="16"/>
  <c r="B2" i="16"/>
  <c r="C3" i="16"/>
  <c r="D3" i="16"/>
  <c r="E3" i="16"/>
  <c r="F3" i="16"/>
  <c r="G3" i="16"/>
  <c r="H3" i="16"/>
  <c r="I3" i="16"/>
  <c r="J3" i="16"/>
  <c r="K3" i="16"/>
  <c r="L3" i="16"/>
  <c r="M3" i="16"/>
  <c r="J8" i="16"/>
  <c r="K8" i="16"/>
  <c r="J9" i="16"/>
  <c r="K9" i="16"/>
  <c r="J10" i="16"/>
  <c r="K10" i="16"/>
  <c r="J11" i="16"/>
  <c r="K11" i="16"/>
  <c r="C12" i="16"/>
  <c r="D12" i="16"/>
  <c r="E12" i="16"/>
  <c r="F12" i="16"/>
  <c r="F17" i="16" s="1"/>
  <c r="G12" i="16"/>
  <c r="H12" i="16"/>
  <c r="H17" i="16" s="1"/>
  <c r="I12" i="16"/>
  <c r="L12" i="16"/>
  <c r="L17" i="16" s="1"/>
  <c r="M12" i="16"/>
  <c r="J13" i="16"/>
  <c r="J16" i="16"/>
  <c r="J14" i="16"/>
  <c r="K14" i="16"/>
  <c r="J15" i="16"/>
  <c r="K15" i="16"/>
  <c r="C16" i="16"/>
  <c r="B64" i="7"/>
  <c r="D16" i="16"/>
  <c r="D17" i="16" s="1"/>
  <c r="E16" i="16"/>
  <c r="F16" i="16"/>
  <c r="G16" i="16"/>
  <c r="F64" i="7" s="1"/>
  <c r="H16" i="16"/>
  <c r="I16" i="16"/>
  <c r="I17" i="16"/>
  <c r="L16" i="16"/>
  <c r="M16" i="16"/>
  <c r="J19" i="16"/>
  <c r="K19" i="16" s="1"/>
  <c r="J20" i="16"/>
  <c r="K20" i="16" s="1"/>
  <c r="J21" i="16"/>
  <c r="K21" i="16" s="1"/>
  <c r="J22" i="16"/>
  <c r="K22" i="16" s="1"/>
  <c r="J23" i="16"/>
  <c r="K23" i="16" s="1"/>
  <c r="A24" i="16"/>
  <c r="C24" i="16"/>
  <c r="D24" i="16"/>
  <c r="D29" i="16" s="1"/>
  <c r="E24" i="16"/>
  <c r="F24" i="16"/>
  <c r="G24" i="16"/>
  <c r="H24" i="16"/>
  <c r="I24" i="16"/>
  <c r="I29" i="16"/>
  <c r="L24" i="16"/>
  <c r="M24" i="16"/>
  <c r="J25" i="16"/>
  <c r="K25" i="16"/>
  <c r="J26" i="16"/>
  <c r="K26" i="16"/>
  <c r="J27" i="16"/>
  <c r="A28" i="16"/>
  <c r="C28" i="16"/>
  <c r="B65" i="7"/>
  <c r="D28" i="16"/>
  <c r="E28" i="16"/>
  <c r="F28" i="16"/>
  <c r="G28" i="16"/>
  <c r="H28" i="16"/>
  <c r="H29" i="16"/>
  <c r="I28" i="16"/>
  <c r="L28" i="16"/>
  <c r="L29" i="16" s="1"/>
  <c r="M28" i="16"/>
  <c r="L65" i="7" s="1"/>
  <c r="A29" i="16"/>
  <c r="B29" i="16"/>
  <c r="J31" i="16"/>
  <c r="K31" i="16"/>
  <c r="J32" i="16"/>
  <c r="K32" i="16"/>
  <c r="A33" i="16"/>
  <c r="C33" i="16"/>
  <c r="C38" i="16" s="1"/>
  <c r="D33" i="16"/>
  <c r="E33" i="16"/>
  <c r="F33" i="16"/>
  <c r="F38" i="16" s="1"/>
  <c r="G33" i="16"/>
  <c r="H33" i="16"/>
  <c r="H38" i="16" s="1"/>
  <c r="I33" i="16"/>
  <c r="L33" i="16"/>
  <c r="M33" i="16"/>
  <c r="M38" i="16" s="1"/>
  <c r="J34" i="16"/>
  <c r="J35" i="16"/>
  <c r="K35" i="16" s="1"/>
  <c r="J36" i="16"/>
  <c r="K36" i="16" s="1"/>
  <c r="A37" i="16"/>
  <c r="C37" i="16"/>
  <c r="D37" i="16"/>
  <c r="E37" i="16"/>
  <c r="F37" i="16"/>
  <c r="G37" i="16"/>
  <c r="G38" i="16" s="1"/>
  <c r="H37" i="16"/>
  <c r="I37" i="16"/>
  <c r="I38" i="16" s="1"/>
  <c r="L37" i="16"/>
  <c r="L38" i="16"/>
  <c r="M37" i="16"/>
  <c r="A38" i="16"/>
  <c r="B38" i="16"/>
  <c r="J40" i="16"/>
  <c r="A41" i="16"/>
  <c r="C41" i="16"/>
  <c r="D41" i="16"/>
  <c r="E41" i="16"/>
  <c r="F41" i="16"/>
  <c r="G41" i="16"/>
  <c r="G48" i="16"/>
  <c r="H41" i="16"/>
  <c r="I41" i="16"/>
  <c r="L41" i="16"/>
  <c r="M41" i="16"/>
  <c r="J42" i="16"/>
  <c r="K42" i="16" s="1"/>
  <c r="J43" i="16"/>
  <c r="J44" i="16"/>
  <c r="K44" i="16"/>
  <c r="J45" i="16"/>
  <c r="K45" i="16"/>
  <c r="J46" i="16"/>
  <c r="K46" i="16"/>
  <c r="A47" i="16"/>
  <c r="C47" i="16"/>
  <c r="D47" i="16"/>
  <c r="E47" i="16"/>
  <c r="E48" i="16" s="1"/>
  <c r="F47" i="16"/>
  <c r="G47" i="16"/>
  <c r="H47" i="16"/>
  <c r="H48" i="16" s="1"/>
  <c r="I47" i="16"/>
  <c r="L47" i="16"/>
  <c r="L48" i="16" s="1"/>
  <c r="M47" i="16"/>
  <c r="A48" i="16"/>
  <c r="B48" i="16"/>
  <c r="J65" i="16"/>
  <c r="K65" i="16" s="1"/>
  <c r="J66" i="16"/>
  <c r="K66" i="16" s="1"/>
  <c r="J67" i="16"/>
  <c r="K67" i="16" s="1"/>
  <c r="J68" i="16"/>
  <c r="K68" i="16" s="1"/>
  <c r="J69" i="16"/>
  <c r="K69" i="16" s="1"/>
  <c r="J70" i="16"/>
  <c r="K70" i="16" s="1"/>
  <c r="J72" i="16"/>
  <c r="K72" i="16" s="1"/>
  <c r="J73" i="16"/>
  <c r="J74" i="16"/>
  <c r="J77" i="16"/>
  <c r="K77" i="16" s="1"/>
  <c r="J78" i="16"/>
  <c r="K78" i="16" s="1"/>
  <c r="J79" i="16"/>
  <c r="K79" i="16" s="1"/>
  <c r="J80" i="16"/>
  <c r="E81" i="16"/>
  <c r="D62" i="7"/>
  <c r="I81" i="16"/>
  <c r="H62" i="7"/>
  <c r="A82" i="16"/>
  <c r="A2" i="15"/>
  <c r="B2" i="15"/>
  <c r="C3" i="15"/>
  <c r="D3" i="15"/>
  <c r="E3" i="15"/>
  <c r="F3" i="15"/>
  <c r="G3" i="15"/>
  <c r="H3" i="15"/>
  <c r="I3" i="15"/>
  <c r="J3" i="15"/>
  <c r="K3" i="15"/>
  <c r="L3" i="15"/>
  <c r="M3" i="15"/>
  <c r="J142" i="15"/>
  <c r="K142" i="15"/>
  <c r="J143" i="15"/>
  <c r="K143" i="15"/>
  <c r="J144" i="15"/>
  <c r="K144" i="15"/>
  <c r="J145" i="15"/>
  <c r="K145" i="15"/>
  <c r="C146" i="15"/>
  <c r="C136" i="15" s="1"/>
  <c r="C167" i="15"/>
  <c r="B55" i="7" s="1"/>
  <c r="D146" i="15"/>
  <c r="D136" i="15" s="1"/>
  <c r="D167" i="15"/>
  <c r="E146" i="15"/>
  <c r="E136" i="15"/>
  <c r="E167" i="15"/>
  <c r="D55" i="7" s="1"/>
  <c r="F146" i="15"/>
  <c r="G146" i="15"/>
  <c r="G136" i="15"/>
  <c r="H146" i="15"/>
  <c r="H167" i="15" s="1"/>
  <c r="H136" i="15"/>
  <c r="I146" i="15"/>
  <c r="I136" i="15" s="1"/>
  <c r="L146" i="15"/>
  <c r="L136" i="15" s="1"/>
  <c r="M146" i="15"/>
  <c r="M136"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c r="H13" i="14"/>
  <c r="H20" i="14"/>
  <c r="I13" i="14"/>
  <c r="L13" i="14"/>
  <c r="M13" i="14"/>
  <c r="J14" i="14"/>
  <c r="K14" i="14" s="1"/>
  <c r="J15" i="14"/>
  <c r="K15" i="14" s="1"/>
  <c r="J17" i="14"/>
  <c r="K17" i="14" s="1"/>
  <c r="A22" i="14"/>
  <c r="A37" i="14"/>
  <c r="A46" i="14"/>
  <c r="C50" i="14"/>
  <c r="C18" i="14"/>
  <c r="D50" i="14"/>
  <c r="D18" i="14"/>
  <c r="K50" i="14"/>
  <c r="K18" i="14" s="1"/>
  <c r="L50" i="14"/>
  <c r="L18" i="14" s="1"/>
  <c r="M50" i="14"/>
  <c r="M18" i="14" s="1"/>
  <c r="A52" i="14"/>
  <c r="A53" i="14"/>
  <c r="C53" i="14"/>
  <c r="D53" i="14"/>
  <c r="L53" i="14"/>
  <c r="L57" i="14" s="1"/>
  <c r="L19" i="14" s="1"/>
  <c r="M53" i="14"/>
  <c r="A54" i="14"/>
  <c r="C54" i="14"/>
  <c r="D54" i="14"/>
  <c r="D57" i="14" s="1"/>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c r="I40" i="22" s="1"/>
  <c r="J16" i="13"/>
  <c r="K16" i="13"/>
  <c r="J17" i="13"/>
  <c r="K17" i="13"/>
  <c r="K19" i="13" s="1"/>
  <c r="K40" i="13" s="1"/>
  <c r="K42" i="13" s="1"/>
  <c r="H23" i="20" s="1"/>
  <c r="J18" i="13"/>
  <c r="K18" i="13"/>
  <c r="C19" i="13"/>
  <c r="B44" i="7"/>
  <c r="D19" i="13"/>
  <c r="E19" i="13"/>
  <c r="F19" i="13"/>
  <c r="F40" i="13"/>
  <c r="F42" i="13" s="1"/>
  <c r="G19" i="13"/>
  <c r="G40" i="13" s="1"/>
  <c r="G42" i="13" s="1"/>
  <c r="G7" i="14" s="1"/>
  <c r="H19" i="13"/>
  <c r="I19" i="13"/>
  <c r="I40" i="13" s="1"/>
  <c r="I42" i="13" s="1"/>
  <c r="L19" i="13"/>
  <c r="M19" i="13"/>
  <c r="L44" i="7" s="1"/>
  <c r="J23" i="13"/>
  <c r="J24" i="13"/>
  <c r="K24" i="13" s="1"/>
  <c r="J25" i="13"/>
  <c r="K25" i="13" s="1"/>
  <c r="J26" i="13"/>
  <c r="K26" i="13" s="1"/>
  <c r="J28" i="13"/>
  <c r="K28" i="13" s="1"/>
  <c r="C29" i="13"/>
  <c r="D29" i="13"/>
  <c r="E29" i="13"/>
  <c r="F29" i="13"/>
  <c r="G29" i="13"/>
  <c r="H29" i="13"/>
  <c r="I29" i="13"/>
  <c r="L29" i="13"/>
  <c r="M29" i="13"/>
  <c r="J33" i="13"/>
  <c r="K33" i="13" s="1"/>
  <c r="J34" i="13"/>
  <c r="K34" i="13" s="1"/>
  <c r="J35" i="13"/>
  <c r="K35" i="13" s="1"/>
  <c r="J37" i="13"/>
  <c r="K37" i="13" s="1"/>
  <c r="C38" i="13"/>
  <c r="B46" i="7" s="1"/>
  <c r="D38" i="13"/>
  <c r="E38" i="13"/>
  <c r="F38" i="13"/>
  <c r="G38" i="13"/>
  <c r="H38" i="13"/>
  <c r="I38" i="13"/>
  <c r="L38" i="13"/>
  <c r="M38" i="13"/>
  <c r="J8" i="20" s="1"/>
  <c r="J41" i="13"/>
  <c r="K41" i="13"/>
  <c r="A43" i="13"/>
  <c r="A2" i="12"/>
  <c r="B2" i="12"/>
  <c r="C3" i="12"/>
  <c r="D3" i="12"/>
  <c r="E3" i="12"/>
  <c r="F3" i="12"/>
  <c r="G3" i="12"/>
  <c r="H3" i="12"/>
  <c r="I3" i="12"/>
  <c r="J3" i="12"/>
  <c r="K3" i="12"/>
  <c r="L3" i="12"/>
  <c r="M3" i="12"/>
  <c r="J8" i="12"/>
  <c r="K8" i="12" s="1"/>
  <c r="K14" i="12" s="1"/>
  <c r="D9" i="12"/>
  <c r="E9" i="12"/>
  <c r="F9" i="12"/>
  <c r="G9" i="12"/>
  <c r="I9" i="12"/>
  <c r="I14" i="12" s="1"/>
  <c r="H37" i="7" s="1"/>
  <c r="M9" i="12"/>
  <c r="J11" i="12"/>
  <c r="K11" i="12"/>
  <c r="J12" i="12"/>
  <c r="K12" i="12"/>
  <c r="J13" i="12"/>
  <c r="K13" i="12"/>
  <c r="J17" i="12"/>
  <c r="J18" i="12"/>
  <c r="K18" i="12" s="1"/>
  <c r="J19" i="12"/>
  <c r="K19" i="12" s="1"/>
  <c r="J20" i="12"/>
  <c r="K20" i="12" s="1"/>
  <c r="C21" i="12"/>
  <c r="C26" i="12" s="1"/>
  <c r="B38" i="7" s="1"/>
  <c r="F21" i="12"/>
  <c r="F26" i="12" s="1"/>
  <c r="E38" i="7" s="1"/>
  <c r="G21" i="12"/>
  <c r="G26" i="12"/>
  <c r="H21" i="12"/>
  <c r="H26" i="12"/>
  <c r="I21" i="12"/>
  <c r="I26" i="12"/>
  <c r="H38" i="7" s="1"/>
  <c r="I38" i="7" s="1"/>
  <c r="J23" i="12"/>
  <c r="K23" i="12"/>
  <c r="J24" i="12"/>
  <c r="K24" i="12"/>
  <c r="J25" i="12"/>
  <c r="K25" i="12"/>
  <c r="J31" i="12"/>
  <c r="K31" i="12"/>
  <c r="C32" i="12"/>
  <c r="E32" i="12"/>
  <c r="I32" i="12"/>
  <c r="M32" i="12"/>
  <c r="M36" i="12" s="1"/>
  <c r="J33" i="12"/>
  <c r="K33" i="12" s="1"/>
  <c r="E34" i="12"/>
  <c r="F34" i="12"/>
  <c r="G34" i="12"/>
  <c r="J35" i="12"/>
  <c r="K35" i="12"/>
  <c r="D39" i="12"/>
  <c r="E39" i="12"/>
  <c r="F39" i="12"/>
  <c r="G39" i="12"/>
  <c r="H39" i="12"/>
  <c r="D40" i="12"/>
  <c r="E40" i="12"/>
  <c r="G40" i="12"/>
  <c r="G41" i="12"/>
  <c r="H40" i="12"/>
  <c r="L40" i="12"/>
  <c r="M40" i="12"/>
  <c r="F47" i="12"/>
  <c r="F50" i="12" s="1"/>
  <c r="E41" i="7" s="1"/>
  <c r="G47" i="12"/>
  <c r="H47" i="12"/>
  <c r="H50" i="12" s="1"/>
  <c r="G41" i="7" s="1"/>
  <c r="I47" i="12"/>
  <c r="J47" i="12" s="1"/>
  <c r="C48" i="12"/>
  <c r="F48" i="12"/>
  <c r="G48" i="12"/>
  <c r="L48" i="12"/>
  <c r="M48" i="12"/>
  <c r="A51" i="12"/>
  <c r="A2" i="48"/>
  <c r="B2" i="48"/>
  <c r="C3" i="48"/>
  <c r="D3" i="48"/>
  <c r="E3" i="48"/>
  <c r="F3" i="48"/>
  <c r="G3" i="48"/>
  <c r="H3" i="48"/>
  <c r="I3" i="48"/>
  <c r="J3" i="48"/>
  <c r="K3" i="48"/>
  <c r="L3" i="48"/>
  <c r="M3" i="48"/>
  <c r="C8" i="48"/>
  <c r="C8" i="11" s="1"/>
  <c r="D8" i="48"/>
  <c r="E8" i="48"/>
  <c r="E8" i="11"/>
  <c r="F8" i="48"/>
  <c r="F8" i="11"/>
  <c r="G8" i="48"/>
  <c r="G8" i="11"/>
  <c r="H8" i="48"/>
  <c r="I8" i="48"/>
  <c r="L8" i="48"/>
  <c r="L8" i="11"/>
  <c r="Q6" i="32" s="1"/>
  <c r="M8" i="48"/>
  <c r="A9" i="48"/>
  <c r="A178" i="48"/>
  <c r="J9" i="48"/>
  <c r="K9" i="48"/>
  <c r="A10" i="48"/>
  <c r="A179" i="48"/>
  <c r="J10" i="48"/>
  <c r="K10" i="48"/>
  <c r="A11" i="48"/>
  <c r="J11" i="48"/>
  <c r="K11" i="48" s="1"/>
  <c r="A12" i="48"/>
  <c r="A181" i="48" s="1"/>
  <c r="J12" i="48"/>
  <c r="K12" i="48" s="1"/>
  <c r="A13" i="48"/>
  <c r="A182" i="48" s="1"/>
  <c r="J13" i="48"/>
  <c r="K13" i="48" s="1"/>
  <c r="A14" i="48"/>
  <c r="A183" i="48" s="1"/>
  <c r="J14" i="48"/>
  <c r="K14" i="48" s="1"/>
  <c r="A15" i="48"/>
  <c r="A184" i="48" s="1"/>
  <c r="J15" i="48"/>
  <c r="K15" i="48" s="1"/>
  <c r="A16" i="48"/>
  <c r="J16" i="48"/>
  <c r="K16" i="48"/>
  <c r="A17" i="48"/>
  <c r="A186" i="48"/>
  <c r="J17" i="48"/>
  <c r="K17" i="48"/>
  <c r="A18" i="48"/>
  <c r="A187" i="48"/>
  <c r="J18" i="48"/>
  <c r="K18" i="48"/>
  <c r="C19" i="48"/>
  <c r="C9" i="11"/>
  <c r="D19" i="48"/>
  <c r="E19" i="48"/>
  <c r="F19" i="48"/>
  <c r="G19" i="48"/>
  <c r="H19" i="48"/>
  <c r="I19" i="48"/>
  <c r="L19" i="48"/>
  <c r="L9" i="11"/>
  <c r="Q7" i="32" s="1"/>
  <c r="M19" i="48"/>
  <c r="A20" i="48"/>
  <c r="J20" i="48"/>
  <c r="K20" i="48" s="1"/>
  <c r="A21" i="48"/>
  <c r="J21" i="48"/>
  <c r="K21" i="48"/>
  <c r="A22" i="48"/>
  <c r="A191" i="48"/>
  <c r="J22" i="48"/>
  <c r="K22" i="48"/>
  <c r="A23" i="48"/>
  <c r="A192" i="48"/>
  <c r="J23" i="48"/>
  <c r="K23" i="48"/>
  <c r="A24" i="48"/>
  <c r="A193" i="48"/>
  <c r="J24" i="48"/>
  <c r="K24" i="48"/>
  <c r="A25" i="48"/>
  <c r="A194" i="48"/>
  <c r="J25" i="48"/>
  <c r="K25" i="48"/>
  <c r="A26" i="48"/>
  <c r="J26" i="48"/>
  <c r="K26" i="48" s="1"/>
  <c r="A27" i="48"/>
  <c r="J27" i="48"/>
  <c r="K27" i="48"/>
  <c r="A28" i="48"/>
  <c r="A197" i="48"/>
  <c r="J28" i="48"/>
  <c r="K28" i="48"/>
  <c r="A29" i="48"/>
  <c r="A198" i="48"/>
  <c r="J29" i="48"/>
  <c r="K29" i="48"/>
  <c r="C30" i="48"/>
  <c r="C10" i="11"/>
  <c r="D30" i="48"/>
  <c r="D10" i="11"/>
  <c r="E30" i="48"/>
  <c r="F30" i="48"/>
  <c r="F10" i="11" s="1"/>
  <c r="G30" i="48"/>
  <c r="G10" i="11" s="1"/>
  <c r="H30" i="48"/>
  <c r="H10" i="11" s="1"/>
  <c r="I30" i="48"/>
  <c r="L30" i="48"/>
  <c r="L10" i="11"/>
  <c r="Q8" i="32" s="1"/>
  <c r="M30" i="48"/>
  <c r="M10" i="11" s="1"/>
  <c r="R8" i="32" s="1"/>
  <c r="A31" i="48"/>
  <c r="A200" i="48"/>
  <c r="J31" i="48"/>
  <c r="K31" i="48"/>
  <c r="A32" i="48"/>
  <c r="A201" i="48"/>
  <c r="J32" i="48"/>
  <c r="K32" i="48"/>
  <c r="A33" i="48"/>
  <c r="J33" i="48"/>
  <c r="K33" i="48" s="1"/>
  <c r="A34" i="48"/>
  <c r="A203" i="48" s="1"/>
  <c r="J34" i="48"/>
  <c r="K34" i="48" s="1"/>
  <c r="A35" i="48"/>
  <c r="A204" i="48" s="1"/>
  <c r="J35" i="48"/>
  <c r="K35" i="48" s="1"/>
  <c r="A36" i="48"/>
  <c r="A205" i="48" s="1"/>
  <c r="J36" i="48"/>
  <c r="K36" i="48" s="1"/>
  <c r="A37" i="48"/>
  <c r="A206" i="48" s="1"/>
  <c r="J37" i="48"/>
  <c r="K37" i="48" s="1"/>
  <c r="A38" i="48"/>
  <c r="A207" i="48" s="1"/>
  <c r="J38" i="48"/>
  <c r="K38" i="48" s="1"/>
  <c r="A39" i="48"/>
  <c r="A208" i="48" s="1"/>
  <c r="J39" i="48"/>
  <c r="K39" i="48" s="1"/>
  <c r="A40" i="48"/>
  <c r="A209" i="48" s="1"/>
  <c r="J40" i="48"/>
  <c r="K40" i="48" s="1"/>
  <c r="C41" i="48"/>
  <c r="C11" i="11" s="1"/>
  <c r="D41" i="48"/>
  <c r="D11" i="11" s="1"/>
  <c r="E41" i="48"/>
  <c r="F41" i="48"/>
  <c r="G41" i="48"/>
  <c r="H41" i="48"/>
  <c r="I41" i="48"/>
  <c r="I11" i="11" s="1"/>
  <c r="L41" i="48"/>
  <c r="L11" i="11" s="1"/>
  <c r="Q9" i="32"/>
  <c r="M41" i="48"/>
  <c r="A42" i="48"/>
  <c r="A211" i="48" s="1"/>
  <c r="J42" i="48"/>
  <c r="K42" i="48" s="1"/>
  <c r="A43" i="48"/>
  <c r="A212" i="48" s="1"/>
  <c r="J43" i="48"/>
  <c r="K43" i="48" s="1"/>
  <c r="A44" i="48"/>
  <c r="A213" i="48" s="1"/>
  <c r="J44" i="48"/>
  <c r="K44" i="48" s="1"/>
  <c r="A45" i="48"/>
  <c r="A214" i="48" s="1"/>
  <c r="J45" i="48"/>
  <c r="K45" i="48" s="1"/>
  <c r="A46" i="48"/>
  <c r="A215" i="48" s="1"/>
  <c r="J46" i="48"/>
  <c r="K46" i="48" s="1"/>
  <c r="A47" i="48"/>
  <c r="A216" i="48" s="1"/>
  <c r="J47" i="48"/>
  <c r="K47" i="48" s="1"/>
  <c r="A48" i="48"/>
  <c r="A217" i="48" s="1"/>
  <c r="J48" i="48"/>
  <c r="K48" i="48" s="1"/>
  <c r="A49" i="48"/>
  <c r="A218" i="48" s="1"/>
  <c r="J49" i="48"/>
  <c r="K49" i="48" s="1"/>
  <c r="A50" i="48"/>
  <c r="A219" i="48" s="1"/>
  <c r="J50" i="48"/>
  <c r="K50" i="48" s="1"/>
  <c r="A51" i="48"/>
  <c r="A220" i="48" s="1"/>
  <c r="J51" i="48"/>
  <c r="K51" i="48" s="1"/>
  <c r="C52" i="48"/>
  <c r="C12" i="11" s="1"/>
  <c r="D52" i="48"/>
  <c r="D12" i="11" s="1"/>
  <c r="E52" i="48"/>
  <c r="E12" i="11" s="1"/>
  <c r="F52" i="48"/>
  <c r="G52" i="48"/>
  <c r="G12" i="11" s="1"/>
  <c r="H52" i="48"/>
  <c r="I52" i="48"/>
  <c r="L52" i="48"/>
  <c r="L12" i="11" s="1"/>
  <c r="Q10" i="32"/>
  <c r="M52" i="48"/>
  <c r="A53" i="48"/>
  <c r="A222" i="48" s="1"/>
  <c r="J53" i="48"/>
  <c r="K53" i="48" s="1"/>
  <c r="A54" i="48"/>
  <c r="A223" i="48" s="1"/>
  <c r="J54" i="48"/>
  <c r="K54" i="48" s="1"/>
  <c r="A55" i="48"/>
  <c r="A224" i="48" s="1"/>
  <c r="J55" i="48"/>
  <c r="K55" i="48" s="1"/>
  <c r="A56" i="48"/>
  <c r="J56" i="48"/>
  <c r="K56" i="48"/>
  <c r="A57" i="48"/>
  <c r="A226" i="48"/>
  <c r="J57" i="48"/>
  <c r="K57" i="48"/>
  <c r="A58" i="48"/>
  <c r="A227" i="48"/>
  <c r="J58" i="48"/>
  <c r="K58" i="48"/>
  <c r="A59" i="48"/>
  <c r="J59" i="48"/>
  <c r="K59" i="48" s="1"/>
  <c r="A60" i="48"/>
  <c r="A229" i="48" s="1"/>
  <c r="J60" i="48"/>
  <c r="K60" i="48" s="1"/>
  <c r="A61" i="48"/>
  <c r="A230" i="48" s="1"/>
  <c r="J61" i="48"/>
  <c r="K61" i="48" s="1"/>
  <c r="A62" i="48"/>
  <c r="A231" i="48" s="1"/>
  <c r="J62" i="48"/>
  <c r="K62" i="48" s="1"/>
  <c r="C63" i="48"/>
  <c r="C13" i="11" s="1"/>
  <c r="D63" i="48"/>
  <c r="D13" i="11" s="1"/>
  <c r="E63" i="48"/>
  <c r="F63" i="48"/>
  <c r="F13" i="11"/>
  <c r="G63" i="48"/>
  <c r="H63" i="48"/>
  <c r="I63" i="48"/>
  <c r="I13" i="11"/>
  <c r="L63" i="48"/>
  <c r="L13" i="11"/>
  <c r="Q11" i="32" s="1"/>
  <c r="M63" i="48"/>
  <c r="M13" i="11" s="1"/>
  <c r="R11" i="32" s="1"/>
  <c r="A64" i="48"/>
  <c r="A233" i="48"/>
  <c r="J64" i="48"/>
  <c r="K64" i="48"/>
  <c r="A65" i="48"/>
  <c r="A234" i="48"/>
  <c r="J65" i="48"/>
  <c r="K65" i="48"/>
  <c r="A66" i="48"/>
  <c r="A235" i="48"/>
  <c r="J66" i="48"/>
  <c r="K66" i="48"/>
  <c r="A67" i="48"/>
  <c r="A236" i="48"/>
  <c r="J67" i="48"/>
  <c r="K67" i="48"/>
  <c r="A68" i="48"/>
  <c r="J68" i="48"/>
  <c r="K68" i="48" s="1"/>
  <c r="A69" i="48"/>
  <c r="A238" i="48" s="1"/>
  <c r="J69" i="48"/>
  <c r="K69" i="48" s="1"/>
  <c r="A70" i="48"/>
  <c r="A239" i="48" s="1"/>
  <c r="J70" i="48"/>
  <c r="K70" i="48" s="1"/>
  <c r="A71" i="48"/>
  <c r="A240" i="48" s="1"/>
  <c r="J71" i="48"/>
  <c r="K71" i="48" s="1"/>
  <c r="A72" i="48"/>
  <c r="J72" i="48"/>
  <c r="K72" i="48"/>
  <c r="A73" i="48"/>
  <c r="A242" i="48"/>
  <c r="J73" i="48"/>
  <c r="K73" i="48"/>
  <c r="C74" i="48"/>
  <c r="C14" i="11"/>
  <c r="D74" i="48"/>
  <c r="E74" i="48"/>
  <c r="E14" i="11" s="1"/>
  <c r="F74" i="48"/>
  <c r="G74" i="48"/>
  <c r="G14" i="11" s="1"/>
  <c r="H74" i="48"/>
  <c r="I74" i="48"/>
  <c r="L74" i="48"/>
  <c r="M74" i="48"/>
  <c r="A75" i="48"/>
  <c r="A244" i="48" s="1"/>
  <c r="J75" i="48"/>
  <c r="K75" i="48" s="1"/>
  <c r="A76" i="48"/>
  <c r="A245" i="48" s="1"/>
  <c r="J76" i="48"/>
  <c r="K76" i="48" s="1"/>
  <c r="A77" i="48"/>
  <c r="A246" i="48" s="1"/>
  <c r="J77" i="48"/>
  <c r="K77" i="48" s="1"/>
  <c r="A78" i="48"/>
  <c r="A247" i="48" s="1"/>
  <c r="J78" i="48"/>
  <c r="K78" i="48" s="1"/>
  <c r="A79" i="48"/>
  <c r="A248" i="48" s="1"/>
  <c r="J79" i="48"/>
  <c r="K79" i="48" s="1"/>
  <c r="A80" i="48"/>
  <c r="A249" i="48" s="1"/>
  <c r="J80" i="48"/>
  <c r="K80" i="48" s="1"/>
  <c r="A81" i="48"/>
  <c r="A250" i="48" s="1"/>
  <c r="J81" i="48"/>
  <c r="K81" i="48" s="1"/>
  <c r="A82" i="48"/>
  <c r="A251" i="48" s="1"/>
  <c r="J82" i="48"/>
  <c r="K82" i="48" s="1"/>
  <c r="A83" i="48"/>
  <c r="A252" i="48" s="1"/>
  <c r="J83" i="48"/>
  <c r="K83" i="48" s="1"/>
  <c r="A84" i="48"/>
  <c r="A253" i="48" s="1"/>
  <c r="J84" i="48"/>
  <c r="K84" i="48" s="1"/>
  <c r="C85" i="48"/>
  <c r="C15" i="11" s="1"/>
  <c r="D85" i="48"/>
  <c r="E85" i="48"/>
  <c r="F85" i="48"/>
  <c r="G85" i="48"/>
  <c r="G15" i="11"/>
  <c r="H85" i="48"/>
  <c r="H15" i="11"/>
  <c r="I85" i="48"/>
  <c r="L85" i="48"/>
  <c r="L15" i="11" s="1"/>
  <c r="Q13" i="32" s="1"/>
  <c r="M85" i="48"/>
  <c r="M15" i="11" s="1"/>
  <c r="R13" i="32"/>
  <c r="A86" i="48"/>
  <c r="A255" i="48"/>
  <c r="J86" i="48"/>
  <c r="K86" i="48"/>
  <c r="A87" i="48"/>
  <c r="A256" i="48"/>
  <c r="J87" i="48"/>
  <c r="K87" i="48"/>
  <c r="A88" i="48"/>
  <c r="A257" i="48"/>
  <c r="J88" i="48"/>
  <c r="K88" i="48"/>
  <c r="A89" i="48"/>
  <c r="A258" i="48"/>
  <c r="J89" i="48"/>
  <c r="K89" i="48"/>
  <c r="A90" i="48"/>
  <c r="A259" i="48"/>
  <c r="J90" i="48"/>
  <c r="K90" i="48"/>
  <c r="A91" i="48"/>
  <c r="A260" i="48"/>
  <c r="J91" i="48"/>
  <c r="K91" i="48"/>
  <c r="A92" i="48"/>
  <c r="A261" i="48"/>
  <c r="J92" i="48"/>
  <c r="K92" i="48"/>
  <c r="A93" i="48"/>
  <c r="A262" i="48"/>
  <c r="J93" i="48"/>
  <c r="K93" i="48"/>
  <c r="A94" i="48"/>
  <c r="A263" i="48"/>
  <c r="J94" i="48"/>
  <c r="K94" i="48"/>
  <c r="A95" i="48"/>
  <c r="J95" i="48"/>
  <c r="K95" i="48" s="1"/>
  <c r="C96" i="48"/>
  <c r="C16" i="11" s="1"/>
  <c r="D96" i="48"/>
  <c r="E96" i="48"/>
  <c r="E16" i="11"/>
  <c r="F96" i="48"/>
  <c r="G96" i="48"/>
  <c r="G16" i="11" s="1"/>
  <c r="H96" i="48"/>
  <c r="I96" i="48"/>
  <c r="I16" i="11" s="1"/>
  <c r="L96" i="48"/>
  <c r="M96" i="48"/>
  <c r="M16" i="11"/>
  <c r="R14" i="32" s="1"/>
  <c r="A97" i="48"/>
  <c r="A266" i="48"/>
  <c r="J97" i="48"/>
  <c r="K97" i="48" s="1"/>
  <c r="A98" i="48"/>
  <c r="A267" i="48"/>
  <c r="J98" i="48"/>
  <c r="K98" i="48" s="1"/>
  <c r="A99" i="48"/>
  <c r="J99" i="48"/>
  <c r="K99" i="48"/>
  <c r="A100" i="48"/>
  <c r="A269" i="48" s="1"/>
  <c r="J100" i="48"/>
  <c r="K100" i="48" s="1"/>
  <c r="A101" i="48"/>
  <c r="A270" i="48" s="1"/>
  <c r="J101" i="48"/>
  <c r="K101" i="48" s="1"/>
  <c r="A102" i="48"/>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s="1"/>
  <c r="G107" i="48"/>
  <c r="G17" i="11" s="1"/>
  <c r="H107" i="48"/>
  <c r="H17" i="11" s="1"/>
  <c r="I107" i="48"/>
  <c r="L107" i="48"/>
  <c r="L17" i="11" s="1"/>
  <c r="Q15" i="32" s="1"/>
  <c r="M107" i="48"/>
  <c r="A108" i="48"/>
  <c r="A277" i="48" s="1"/>
  <c r="J108" i="48"/>
  <c r="K108" i="48" s="1"/>
  <c r="A109" i="48"/>
  <c r="J109" i="48"/>
  <c r="K109" i="48"/>
  <c r="A110" i="48"/>
  <c r="A279" i="48"/>
  <c r="J110" i="48"/>
  <c r="K110" i="48"/>
  <c r="A111" i="48"/>
  <c r="A280" i="48"/>
  <c r="J111" i="48"/>
  <c r="K111" i="48"/>
  <c r="A112" i="48"/>
  <c r="A281" i="48"/>
  <c r="J112" i="48"/>
  <c r="K112" i="48"/>
  <c r="A113" i="48"/>
  <c r="J113" i="48"/>
  <c r="K113" i="48" s="1"/>
  <c r="A114" i="48"/>
  <c r="A283" i="48" s="1"/>
  <c r="J114" i="48"/>
  <c r="K114" i="48" s="1"/>
  <c r="A115" i="48"/>
  <c r="A284" i="48" s="1"/>
  <c r="J115" i="48"/>
  <c r="K115" i="48"/>
  <c r="A116" i="48"/>
  <c r="J116" i="48"/>
  <c r="K116" i="48" s="1"/>
  <c r="A117" i="48"/>
  <c r="J117" i="48"/>
  <c r="K117" i="48"/>
  <c r="C118" i="48"/>
  <c r="C18" i="11"/>
  <c r="D118" i="48"/>
  <c r="E118" i="48"/>
  <c r="F118" i="48"/>
  <c r="F18" i="11"/>
  <c r="G118" i="48"/>
  <c r="H118" i="48"/>
  <c r="H18" i="11" s="1"/>
  <c r="I118" i="48"/>
  <c r="I18" i="11" s="1"/>
  <c r="L118" i="48"/>
  <c r="L18" i="11" s="1"/>
  <c r="Q16" i="32" s="1"/>
  <c r="M118" i="48"/>
  <c r="M18" i="11"/>
  <c r="R16" i="32" s="1"/>
  <c r="A119" i="48"/>
  <c r="A288" i="48" s="1"/>
  <c r="J119" i="48"/>
  <c r="K119" i="48" s="1"/>
  <c r="A120" i="48"/>
  <c r="A289" i="48" s="1"/>
  <c r="J120" i="48"/>
  <c r="K120" i="48" s="1"/>
  <c r="A121" i="48"/>
  <c r="J121" i="48"/>
  <c r="K121" i="48"/>
  <c r="A122" i="48"/>
  <c r="A291" i="48"/>
  <c r="J122" i="48"/>
  <c r="K122" i="48"/>
  <c r="A123" i="48"/>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F19" i="11" s="1"/>
  <c r="G129" i="48"/>
  <c r="G19" i="11" s="1"/>
  <c r="H129" i="48"/>
  <c r="H19" i="11" s="1"/>
  <c r="I129" i="48"/>
  <c r="I19" i="11" s="1"/>
  <c r="L129" i="48"/>
  <c r="L19" i="11" s="1"/>
  <c r="Q17" i="32"/>
  <c r="M129" i="48"/>
  <c r="M19" i="1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A308" i="48" s="1"/>
  <c r="J139" i="48"/>
  <c r="K139" i="48"/>
  <c r="C140" i="48"/>
  <c r="C20" i="11"/>
  <c r="D140" i="48"/>
  <c r="D20" i="11"/>
  <c r="E140" i="48"/>
  <c r="F140" i="48"/>
  <c r="F20" i="11" s="1"/>
  <c r="G140" i="48"/>
  <c r="G20" i="11"/>
  <c r="H140" i="48"/>
  <c r="H20" i="11"/>
  <c r="I140" i="48"/>
  <c r="I20" i="11"/>
  <c r="L140" i="48"/>
  <c r="L20" i="11"/>
  <c r="Q18" i="32" s="1"/>
  <c r="M140" i="48"/>
  <c r="M20" i="11" s="1"/>
  <c r="R18" i="32"/>
  <c r="A141" i="48"/>
  <c r="J141" i="48"/>
  <c r="K141" i="48" s="1"/>
  <c r="A142" i="48"/>
  <c r="A311" i="48" s="1"/>
  <c r="J142" i="48"/>
  <c r="K142" i="48" s="1"/>
  <c r="A143" i="48"/>
  <c r="A312" i="48" s="1"/>
  <c r="J143" i="48"/>
  <c r="K143" i="48" s="1"/>
  <c r="A144" i="48"/>
  <c r="A313" i="48" s="1"/>
  <c r="J144" i="48"/>
  <c r="K144" i="48"/>
  <c r="A145" i="48"/>
  <c r="A314" i="48"/>
  <c r="J145" i="48"/>
  <c r="K145" i="48"/>
  <c r="A146" i="48"/>
  <c r="A315" i="48"/>
  <c r="J146" i="48"/>
  <c r="K146" i="48"/>
  <c r="A147" i="48"/>
  <c r="J147" i="48"/>
  <c r="K147" i="48" s="1"/>
  <c r="A148" i="48"/>
  <c r="A317" i="48" s="1"/>
  <c r="J148" i="48"/>
  <c r="K148" i="48" s="1"/>
  <c r="A149" i="48"/>
  <c r="A318" i="48" s="1"/>
  <c r="J149" i="48"/>
  <c r="K149" i="48" s="1"/>
  <c r="A150" i="48"/>
  <c r="A319" i="48" s="1"/>
  <c r="J150" i="48"/>
  <c r="K150" i="48" s="1"/>
  <c r="C151" i="48"/>
  <c r="D151" i="48"/>
  <c r="D21" i="11"/>
  <c r="E151" i="48"/>
  <c r="E21" i="11"/>
  <c r="F151" i="48"/>
  <c r="G151" i="48"/>
  <c r="H151" i="48"/>
  <c r="I151" i="48"/>
  <c r="I21" i="11" s="1"/>
  <c r="L151" i="48"/>
  <c r="M151" i="48"/>
  <c r="M21" i="11"/>
  <c r="R19" i="32" s="1"/>
  <c r="A152" i="48"/>
  <c r="A321" i="48" s="1"/>
  <c r="J152" i="48"/>
  <c r="K152" i="48" s="1"/>
  <c r="A153" i="48"/>
  <c r="A322" i="48" s="1"/>
  <c r="J153" i="48"/>
  <c r="K153" i="48" s="1"/>
  <c r="A154" i="48"/>
  <c r="A323" i="48" s="1"/>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s="1"/>
  <c r="A161" i="48"/>
  <c r="A330" i="48" s="1"/>
  <c r="J161" i="48"/>
  <c r="K161" i="48" s="1"/>
  <c r="C162" i="48"/>
  <c r="C22" i="11" s="1"/>
  <c r="D162" i="48"/>
  <c r="D22" i="11" s="1"/>
  <c r="E162" i="48"/>
  <c r="F162" i="48"/>
  <c r="G162" i="48"/>
  <c r="G22" i="11"/>
  <c r="H162" i="48"/>
  <c r="H22" i="11"/>
  <c r="I162" i="48"/>
  <c r="I22" i="11"/>
  <c r="L162" i="48"/>
  <c r="M162" i="48"/>
  <c r="M22" i="11" s="1"/>
  <c r="R20" i="32"/>
  <c r="A163" i="48"/>
  <c r="A332" i="48"/>
  <c r="J163" i="48"/>
  <c r="K163" i="48"/>
  <c r="A164" i="48"/>
  <c r="A333" i="48"/>
  <c r="J164" i="48"/>
  <c r="K164" i="48"/>
  <c r="A165" i="48"/>
  <c r="A334" i="48"/>
  <c r="J165" i="48"/>
  <c r="K165" i="48"/>
  <c r="A166" i="48"/>
  <c r="A335" i="48"/>
  <c r="J166" i="48"/>
  <c r="K166" i="48"/>
  <c r="A167" i="48"/>
  <c r="A336" i="48"/>
  <c r="J167" i="48"/>
  <c r="K167" i="48"/>
  <c r="A168" i="48"/>
  <c r="A337" i="48"/>
  <c r="J168" i="48"/>
  <c r="K168" i="48"/>
  <c r="A169" i="48"/>
  <c r="A338" i="48"/>
  <c r="J169" i="48"/>
  <c r="K169" i="48"/>
  <c r="A170" i="48"/>
  <c r="A339" i="48"/>
  <c r="J170" i="48"/>
  <c r="K170" i="48"/>
  <c r="A171" i="48"/>
  <c r="J171" i="48"/>
  <c r="K171" i="48" s="1"/>
  <c r="A172" i="48"/>
  <c r="A341" i="48" s="1"/>
  <c r="J172" i="48"/>
  <c r="K172" i="48" s="1"/>
  <c r="C177" i="48"/>
  <c r="C26" i="11" s="1"/>
  <c r="D177" i="48"/>
  <c r="E177" i="48"/>
  <c r="F177" i="48"/>
  <c r="G177" i="48"/>
  <c r="G26" i="11"/>
  <c r="H177" i="48"/>
  <c r="I177" i="48"/>
  <c r="L177" i="48"/>
  <c r="M177" i="48"/>
  <c r="M26" i="11" s="1"/>
  <c r="J178" i="48"/>
  <c r="K178" i="48"/>
  <c r="J179" i="48"/>
  <c r="K179" i="48"/>
  <c r="A180" i="48"/>
  <c r="J180" i="48"/>
  <c r="K180" i="48" s="1"/>
  <c r="J181" i="48"/>
  <c r="K181" i="48" s="1"/>
  <c r="J182" i="48"/>
  <c r="K182" i="48" s="1"/>
  <c r="J183" i="48"/>
  <c r="K183" i="48" s="1"/>
  <c r="J184" i="48"/>
  <c r="K184" i="48" s="1"/>
  <c r="A185" i="48"/>
  <c r="J185" i="48"/>
  <c r="K185" i="48"/>
  <c r="J186" i="48"/>
  <c r="K186" i="48"/>
  <c r="J187" i="48"/>
  <c r="K187" i="48"/>
  <c r="C188" i="48"/>
  <c r="D188" i="48"/>
  <c r="D27" i="11" s="1"/>
  <c r="E188" i="48"/>
  <c r="E27" i="11"/>
  <c r="F188" i="48"/>
  <c r="G188" i="48"/>
  <c r="H188" i="48"/>
  <c r="H27" i="11"/>
  <c r="I188" i="48"/>
  <c r="I27" i="11" s="1"/>
  <c r="L188" i="48"/>
  <c r="L27" i="11" s="1"/>
  <c r="Q25" i="32" s="1"/>
  <c r="M188" i="48"/>
  <c r="M27" i="11" s="1"/>
  <c r="R25" i="32" s="1"/>
  <c r="A189" i="48"/>
  <c r="J189" i="48"/>
  <c r="K189" i="48" s="1"/>
  <c r="A190" i="48"/>
  <c r="J190" i="48"/>
  <c r="K190" i="48" s="1"/>
  <c r="J191" i="48"/>
  <c r="K191" i="48" s="1"/>
  <c r="J192" i="48"/>
  <c r="K192" i="48" s="1"/>
  <c r="J193" i="48"/>
  <c r="K193" i="48" s="1"/>
  <c r="J194" i="48"/>
  <c r="K194" i="48" s="1"/>
  <c r="A195" i="48"/>
  <c r="J195" i="48"/>
  <c r="K195" i="48"/>
  <c r="A196" i="48"/>
  <c r="J196" i="48"/>
  <c r="K196" i="48" s="1"/>
  <c r="J197" i="48"/>
  <c r="K197" i="48" s="1"/>
  <c r="J198" i="48"/>
  <c r="K198" i="48" s="1"/>
  <c r="C199" i="48"/>
  <c r="C28" i="11" s="1"/>
  <c r="D199" i="48"/>
  <c r="E199" i="48"/>
  <c r="E28" i="11" s="1"/>
  <c r="F199" i="48"/>
  <c r="G199" i="48"/>
  <c r="G28" i="11"/>
  <c r="H199" i="48"/>
  <c r="H28" i="11"/>
  <c r="I199" i="48"/>
  <c r="I28" i="11" s="1"/>
  <c r="J28" i="11" s="1"/>
  <c r="L199" i="48"/>
  <c r="L28" i="11"/>
  <c r="Q26" i="32" s="1"/>
  <c r="M199" i="48"/>
  <c r="M28" i="11" s="1"/>
  <c r="J200" i="48"/>
  <c r="K200" i="48" s="1"/>
  <c r="J201" i="48"/>
  <c r="K201" i="48" s="1"/>
  <c r="A202" i="48"/>
  <c r="J202" i="48"/>
  <c r="K202" i="48"/>
  <c r="J203" i="48"/>
  <c r="K203" i="48"/>
  <c r="J204" i="48"/>
  <c r="K204" i="48" s="1"/>
  <c r="J205" i="48"/>
  <c r="K205" i="48"/>
  <c r="J206" i="48"/>
  <c r="K206" i="48"/>
  <c r="J207" i="48"/>
  <c r="K207" i="48"/>
  <c r="J208" i="48"/>
  <c r="K208" i="48"/>
  <c r="J209" i="48"/>
  <c r="K209" i="48"/>
  <c r="C210" i="48"/>
  <c r="D210" i="48"/>
  <c r="D29" i="11" s="1"/>
  <c r="E210" i="48"/>
  <c r="E29" i="11" s="1"/>
  <c r="F210" i="48"/>
  <c r="G210" i="48"/>
  <c r="H210" i="48"/>
  <c r="I210" i="48"/>
  <c r="I29" i="11" s="1"/>
  <c r="L210" i="48"/>
  <c r="L29" i="11"/>
  <c r="Q27" i="32" s="1"/>
  <c r="M210" i="48"/>
  <c r="M29" i="11" s="1"/>
  <c r="R27" i="32" s="1"/>
  <c r="J211" i="48"/>
  <c r="K211" i="48"/>
  <c r="J212" i="48"/>
  <c r="K212" i="48"/>
  <c r="J213" i="48"/>
  <c r="K213" i="48"/>
  <c r="J214" i="48"/>
  <c r="K214" i="48"/>
  <c r="J215" i="48"/>
  <c r="K215" i="48"/>
  <c r="J216" i="48"/>
  <c r="K216" i="48"/>
  <c r="J217" i="48"/>
  <c r="K217" i="48"/>
  <c r="J218" i="48"/>
  <c r="K218" i="48"/>
  <c r="J219" i="48"/>
  <c r="K219" i="48"/>
  <c r="J220" i="48"/>
  <c r="K220" i="48"/>
  <c r="C221" i="48"/>
  <c r="D221" i="48"/>
  <c r="D30" i="11" s="1"/>
  <c r="E221" i="48"/>
  <c r="E30" i="11" s="1"/>
  <c r="F221" i="48"/>
  <c r="F30" i="11" s="1"/>
  <c r="G221" i="48"/>
  <c r="H221" i="48"/>
  <c r="H30" i="11"/>
  <c r="I221" i="48"/>
  <c r="I30" i="11" s="1"/>
  <c r="J30" i="11" s="1"/>
  <c r="K30" i="11" s="1"/>
  <c r="P28" i="32" s="1"/>
  <c r="N28" i="32" s="1"/>
  <c r="L221" i="48"/>
  <c r="L30" i="11" s="1"/>
  <c r="Q28" i="32"/>
  <c r="M221" i="48"/>
  <c r="M30" i="11"/>
  <c r="R28" i="32" s="1"/>
  <c r="J222" i="48"/>
  <c r="K222" i="48" s="1"/>
  <c r="J223" i="48"/>
  <c r="K223" i="48" s="1"/>
  <c r="J224" i="48"/>
  <c r="K224" i="48" s="1"/>
  <c r="A225" i="48"/>
  <c r="J225" i="48"/>
  <c r="K225" i="48" s="1"/>
  <c r="J226" i="48"/>
  <c r="K226" i="48"/>
  <c r="J227" i="48"/>
  <c r="K227" i="48"/>
  <c r="A228" i="48"/>
  <c r="J228" i="48"/>
  <c r="K228" i="48" s="1"/>
  <c r="J229" i="48"/>
  <c r="K229" i="48" s="1"/>
  <c r="J230" i="48"/>
  <c r="K230" i="48" s="1"/>
  <c r="J231" i="48"/>
  <c r="K231" i="48" s="1"/>
  <c r="C232" i="48"/>
  <c r="D232" i="48"/>
  <c r="E232" i="48"/>
  <c r="E31" i="11" s="1"/>
  <c r="F232" i="48"/>
  <c r="F31" i="11" s="1"/>
  <c r="G232" i="48"/>
  <c r="G31" i="11" s="1"/>
  <c r="H232" i="48"/>
  <c r="H31" i="11" s="1"/>
  <c r="I232" i="48"/>
  <c r="I31" i="11" s="1"/>
  <c r="L232" i="48"/>
  <c r="L31" i="11" s="1"/>
  <c r="Q29" i="32" s="1"/>
  <c r="M232" i="48"/>
  <c r="M31" i="11" s="1"/>
  <c r="R29" i="32" s="1"/>
  <c r="J233" i="48"/>
  <c r="K233" i="48"/>
  <c r="J234" i="48"/>
  <c r="K234" i="48"/>
  <c r="J235" i="48"/>
  <c r="K235" i="48"/>
  <c r="J236" i="48"/>
  <c r="K236" i="48"/>
  <c r="A237" i="48"/>
  <c r="J237" i="48"/>
  <c r="K237" i="48" s="1"/>
  <c r="J238" i="48"/>
  <c r="K238" i="48" s="1"/>
  <c r="J239" i="48"/>
  <c r="K239" i="48" s="1"/>
  <c r="J240" i="48"/>
  <c r="K240" i="48" s="1"/>
  <c r="A241" i="48"/>
  <c r="J241" i="48"/>
  <c r="K241" i="48"/>
  <c r="J242" i="48"/>
  <c r="K242" i="48"/>
  <c r="C243" i="48"/>
  <c r="D243" i="48"/>
  <c r="E243" i="48"/>
  <c r="E32" i="11"/>
  <c r="F243" i="48"/>
  <c r="F32" i="11"/>
  <c r="G243" i="48"/>
  <c r="H243" i="48"/>
  <c r="H32" i="11" s="1"/>
  <c r="I243" i="48"/>
  <c r="I32" i="11" s="1"/>
  <c r="L243" i="48"/>
  <c r="L32" i="11" s="1"/>
  <c r="Q30" i="32" s="1"/>
  <c r="M243" i="48"/>
  <c r="M32" i="11"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s="1"/>
  <c r="F254" i="48"/>
  <c r="G254" i="48"/>
  <c r="H254" i="48"/>
  <c r="H33" i="11" s="1"/>
  <c r="I254" i="48"/>
  <c r="I33" i="11" s="1"/>
  <c r="J33" i="11" s="1"/>
  <c r="L254" i="48"/>
  <c r="L33" i="11" s="1"/>
  <c r="Q31" i="32"/>
  <c r="M254" i="48"/>
  <c r="J255" i="48"/>
  <c r="K255" i="48" s="1"/>
  <c r="J256" i="48"/>
  <c r="K256" i="48" s="1"/>
  <c r="J257" i="48"/>
  <c r="K257" i="48" s="1"/>
  <c r="J258" i="48"/>
  <c r="K258" i="48" s="1"/>
  <c r="J259" i="48"/>
  <c r="K259" i="48" s="1"/>
  <c r="J260" i="48"/>
  <c r="K260" i="48" s="1"/>
  <c r="J261" i="48"/>
  <c r="K261" i="48" s="1"/>
  <c r="J262" i="48"/>
  <c r="K262" i="48" s="1"/>
  <c r="J263" i="48"/>
  <c r="K263" i="48" s="1"/>
  <c r="A264" i="48"/>
  <c r="J264" i="48"/>
  <c r="K264" i="48"/>
  <c r="C265" i="48"/>
  <c r="D265" i="48"/>
  <c r="D34" i="11" s="1"/>
  <c r="E265" i="48"/>
  <c r="F265" i="48"/>
  <c r="F34" i="11"/>
  <c r="G265" i="48"/>
  <c r="G34" i="11"/>
  <c r="H265" i="48"/>
  <c r="H34" i="11"/>
  <c r="I265" i="48"/>
  <c r="I34" i="11" s="1"/>
  <c r="J34" i="11" s="1"/>
  <c r="L265" i="48"/>
  <c r="L34" i="11" s="1"/>
  <c r="Q32" i="32" s="1"/>
  <c r="M265" i="48"/>
  <c r="M34" i="11" s="1"/>
  <c r="R32" i="32"/>
  <c r="J266" i="48"/>
  <c r="K266" i="48" s="1"/>
  <c r="J267" i="48"/>
  <c r="K267" i="48"/>
  <c r="A268" i="48"/>
  <c r="J268" i="48"/>
  <c r="K268" i="48" s="1"/>
  <c r="J269" i="48"/>
  <c r="K269" i="48" s="1"/>
  <c r="J270" i="48"/>
  <c r="K270" i="48" s="1"/>
  <c r="A271" i="48"/>
  <c r="J271" i="48"/>
  <c r="K271" i="48"/>
  <c r="J272" i="48"/>
  <c r="K272" i="48"/>
  <c r="J273" i="48"/>
  <c r="K273" i="48"/>
  <c r="J274" i="48"/>
  <c r="K274" i="48"/>
  <c r="J275" i="48"/>
  <c r="K275" i="48"/>
  <c r="C276" i="48"/>
  <c r="D276" i="48"/>
  <c r="D35" i="11" s="1"/>
  <c r="K35" i="11" s="1"/>
  <c r="E276" i="48"/>
  <c r="E35" i="11"/>
  <c r="F276" i="48"/>
  <c r="G276" i="48"/>
  <c r="G35" i="11" s="1"/>
  <c r="H276" i="48"/>
  <c r="I276" i="48"/>
  <c r="I35" i="11"/>
  <c r="L276" i="48"/>
  <c r="M276" i="48"/>
  <c r="M35" i="11" s="1"/>
  <c r="R33" i="32"/>
  <c r="J277" i="48"/>
  <c r="K277" i="48"/>
  <c r="A278" i="48"/>
  <c r="J278" i="48"/>
  <c r="K278" i="48" s="1"/>
  <c r="J279" i="48"/>
  <c r="K279" i="48" s="1"/>
  <c r="J280" i="48"/>
  <c r="K280" i="48" s="1"/>
  <c r="J281" i="48"/>
  <c r="K281" i="48" s="1"/>
  <c r="A282" i="48"/>
  <c r="J282" i="48"/>
  <c r="K282" i="48"/>
  <c r="J283" i="48"/>
  <c r="K283" i="48"/>
  <c r="J284" i="48"/>
  <c r="K284" i="48" s="1"/>
  <c r="A285" i="48"/>
  <c r="J285" i="48"/>
  <c r="K285" i="48"/>
  <c r="A286" i="48"/>
  <c r="J286" i="48"/>
  <c r="K286" i="48" s="1"/>
  <c r="C287" i="48"/>
  <c r="C36" i="11" s="1"/>
  <c r="D287" i="48"/>
  <c r="E287" i="48"/>
  <c r="E36" i="11" s="1"/>
  <c r="F287" i="48"/>
  <c r="G287" i="48"/>
  <c r="G36" i="11"/>
  <c r="H287" i="48"/>
  <c r="H36" i="11"/>
  <c r="I287" i="48"/>
  <c r="L287" i="48"/>
  <c r="L36" i="11" s="1"/>
  <c r="Q34" i="32" s="1"/>
  <c r="M287" i="48"/>
  <c r="M36" i="11"/>
  <c r="R34" i="32" s="1"/>
  <c r="J288" i="48"/>
  <c r="K288" i="48" s="1"/>
  <c r="J289" i="48"/>
  <c r="K289" i="48" s="1"/>
  <c r="A290" i="48"/>
  <c r="J290" i="48"/>
  <c r="K290" i="48"/>
  <c r="J291" i="48"/>
  <c r="K291" i="48"/>
  <c r="A292" i="48"/>
  <c r="J292" i="48"/>
  <c r="K292" i="48" s="1"/>
  <c r="J293" i="48"/>
  <c r="K293" i="48" s="1"/>
  <c r="J294" i="48"/>
  <c r="K294" i="48" s="1"/>
  <c r="J295" i="48"/>
  <c r="K295" i="48" s="1"/>
  <c r="J296" i="48"/>
  <c r="K296" i="48" s="1"/>
  <c r="J297" i="48"/>
  <c r="K297" i="48" s="1"/>
  <c r="C298" i="48"/>
  <c r="C37" i="11" s="1"/>
  <c r="D298" i="48"/>
  <c r="E298" i="48"/>
  <c r="E37" i="11"/>
  <c r="F298" i="48"/>
  <c r="F37" i="11"/>
  <c r="G298" i="48"/>
  <c r="G37" i="11"/>
  <c r="H298" i="48"/>
  <c r="H37" i="11"/>
  <c r="I298" i="48"/>
  <c r="I37" i="11"/>
  <c r="L298" i="48"/>
  <c r="L37" i="11"/>
  <c r="Q35" i="32" s="1"/>
  <c r="M298" i="48"/>
  <c r="M37" i="11" s="1"/>
  <c r="R35" i="32"/>
  <c r="J299" i="48"/>
  <c r="K299" i="48"/>
  <c r="J300" i="48"/>
  <c r="K300" i="48"/>
  <c r="J301" i="48"/>
  <c r="K301" i="48"/>
  <c r="J302" i="48"/>
  <c r="K302" i="48"/>
  <c r="J303" i="48"/>
  <c r="K303" i="48"/>
  <c r="J304" i="48"/>
  <c r="K304" i="48"/>
  <c r="J305" i="48"/>
  <c r="K305" i="48"/>
  <c r="J306" i="48"/>
  <c r="K306" i="48"/>
  <c r="J307" i="48"/>
  <c r="K307" i="48"/>
  <c r="J308" i="48"/>
  <c r="K308" i="48" s="1"/>
  <c r="C309" i="48"/>
  <c r="C38" i="11" s="1"/>
  <c r="D309" i="48"/>
  <c r="E309" i="48"/>
  <c r="F309" i="48"/>
  <c r="F38" i="11" s="1"/>
  <c r="G309" i="48"/>
  <c r="G38" i="11" s="1"/>
  <c r="H309" i="48"/>
  <c r="I309" i="48"/>
  <c r="I38" i="11"/>
  <c r="L309" i="48"/>
  <c r="L38" i="11"/>
  <c r="Q36" i="32" s="1"/>
  <c r="M309" i="48"/>
  <c r="M38" i="11" s="1"/>
  <c r="R36" i="32" s="1"/>
  <c r="A310" i="48"/>
  <c r="J310" i="48"/>
  <c r="K310" i="48" s="1"/>
  <c r="J311" i="48"/>
  <c r="K311" i="48" s="1"/>
  <c r="J312" i="48"/>
  <c r="K312" i="48" s="1"/>
  <c r="J313" i="48"/>
  <c r="K313" i="48"/>
  <c r="J314" i="48"/>
  <c r="K314" i="48"/>
  <c r="J315" i="48"/>
  <c r="K315" i="48"/>
  <c r="A316" i="48"/>
  <c r="J316" i="48"/>
  <c r="K316" i="48" s="1"/>
  <c r="J317" i="48"/>
  <c r="K317" i="48" s="1"/>
  <c r="J318" i="48"/>
  <c r="K318" i="48" s="1"/>
  <c r="J319" i="48"/>
  <c r="K319" i="48" s="1"/>
  <c r="C320" i="48"/>
  <c r="C39" i="11" s="1"/>
  <c r="D320" i="48"/>
  <c r="D39" i="11" s="1"/>
  <c r="E320" i="48"/>
  <c r="F320" i="48"/>
  <c r="F39" i="11"/>
  <c r="G320" i="48"/>
  <c r="G39" i="11"/>
  <c r="H320" i="48"/>
  <c r="H39" i="11"/>
  <c r="I320" i="48"/>
  <c r="I39" i="11"/>
  <c r="L320" i="48"/>
  <c r="L39" i="11"/>
  <c r="Q37" i="32" s="1"/>
  <c r="M320" i="48"/>
  <c r="J321" i="48"/>
  <c r="K321" i="48"/>
  <c r="J322" i="48"/>
  <c r="K322" i="48"/>
  <c r="J323" i="48"/>
  <c r="K323" i="48" s="1"/>
  <c r="J324" i="48"/>
  <c r="K324" i="48" s="1"/>
  <c r="J325" i="48"/>
  <c r="K325" i="48" s="1"/>
  <c r="J326" i="48"/>
  <c r="K326" i="48" s="1"/>
  <c r="J327" i="48"/>
  <c r="K327" i="48" s="1"/>
  <c r="J328" i="48"/>
  <c r="K328" i="48" s="1"/>
  <c r="A329" i="48"/>
  <c r="J329" i="48"/>
  <c r="K329" i="48"/>
  <c r="J330" i="48"/>
  <c r="K330" i="48"/>
  <c r="C331" i="48"/>
  <c r="D331" i="48"/>
  <c r="E331" i="48"/>
  <c r="E40" i="11"/>
  <c r="F331" i="48"/>
  <c r="F40" i="11"/>
  <c r="G331" i="48"/>
  <c r="G40" i="11"/>
  <c r="H331" i="48"/>
  <c r="H40" i="11"/>
  <c r="I331" i="48"/>
  <c r="I40" i="11"/>
  <c r="L331" i="48"/>
  <c r="L40" i="11"/>
  <c r="Q38" i="32" s="1"/>
  <c r="M331" i="48"/>
  <c r="J332" i="48"/>
  <c r="K332" i="48" s="1"/>
  <c r="J333" i="48"/>
  <c r="K333" i="48" s="1"/>
  <c r="J334" i="48"/>
  <c r="K334" i="48" s="1"/>
  <c r="J335" i="48"/>
  <c r="K335" i="48" s="1"/>
  <c r="J336" i="48"/>
  <c r="K336" i="48" s="1"/>
  <c r="J337" i="48"/>
  <c r="K337" i="48" s="1"/>
  <c r="J338" i="48"/>
  <c r="K338" i="48" s="1"/>
  <c r="J339" i="48"/>
  <c r="K339" i="48" s="1"/>
  <c r="A340" i="48"/>
  <c r="J340" i="48"/>
  <c r="K340" i="48"/>
  <c r="J341" i="48"/>
  <c r="K341" i="48"/>
  <c r="A346" i="48"/>
  <c r="A2" i="11"/>
  <c r="B2" i="11"/>
  <c r="C3" i="11"/>
  <c r="D3" i="11"/>
  <c r="E3" i="11"/>
  <c r="F3" i="11"/>
  <c r="G3" i="11"/>
  <c r="H3" i="11"/>
  <c r="I3" i="11"/>
  <c r="J3" i="11"/>
  <c r="K3" i="11"/>
  <c r="L3" i="11"/>
  <c r="M3" i="11"/>
  <c r="I8" i="11"/>
  <c r="D9" i="11"/>
  <c r="E9" i="11"/>
  <c r="H9" i="11"/>
  <c r="M9" i="11"/>
  <c r="R7" i="32"/>
  <c r="F11" i="11"/>
  <c r="H11" i="11"/>
  <c r="M11" i="11"/>
  <c r="R9" i="32"/>
  <c r="F12" i="11"/>
  <c r="H12" i="11"/>
  <c r="J12" i="11"/>
  <c r="I12" i="11"/>
  <c r="M12" i="11"/>
  <c r="R10" i="32" s="1"/>
  <c r="G13" i="11"/>
  <c r="H13" i="11"/>
  <c r="D14" i="11"/>
  <c r="H14" i="11"/>
  <c r="L14" i="11"/>
  <c r="Q12" i="32"/>
  <c r="M14" i="11"/>
  <c r="R12" i="32"/>
  <c r="I15" i="11"/>
  <c r="F16" i="11"/>
  <c r="H16" i="11"/>
  <c r="L16" i="11"/>
  <c r="Q14" i="32"/>
  <c r="E17" i="11"/>
  <c r="J17" i="11"/>
  <c r="I17" i="11"/>
  <c r="M17" i="11"/>
  <c r="R15" i="32"/>
  <c r="D18" i="11"/>
  <c r="G18" i="11"/>
  <c r="L21" i="11"/>
  <c r="Q19" i="32" s="1"/>
  <c r="L22" i="11"/>
  <c r="Q20" i="32"/>
  <c r="I26" i="11"/>
  <c r="C27" i="11"/>
  <c r="G27" i="11"/>
  <c r="G29" i="11"/>
  <c r="H29" i="11"/>
  <c r="G30" i="11"/>
  <c r="C31" i="11"/>
  <c r="D31" i="11"/>
  <c r="E34" i="11"/>
  <c r="C35" i="11"/>
  <c r="L35" i="11"/>
  <c r="Q33" i="32"/>
  <c r="I36" i="11"/>
  <c r="E38" i="11"/>
  <c r="E39" i="11"/>
  <c r="M39" i="11"/>
  <c r="R37" i="32"/>
  <c r="M40" i="11"/>
  <c r="R38" i="32" s="1"/>
  <c r="C45" i="11"/>
  <c r="D45" i="11"/>
  <c r="E45" i="11"/>
  <c r="F45" i="11"/>
  <c r="G45" i="11"/>
  <c r="G65" i="11" s="1"/>
  <c r="K12" i="22" s="1"/>
  <c r="H45" i="11"/>
  <c r="I45" i="11"/>
  <c r="L45" i="11"/>
  <c r="P6" i="33"/>
  <c r="M45" i="11"/>
  <c r="K48" i="11"/>
  <c r="O9" i="33" s="1"/>
  <c r="N9" i="33"/>
  <c r="C49" i="11"/>
  <c r="D49" i="11"/>
  <c r="E49" i="11"/>
  <c r="F49" i="11"/>
  <c r="F65" i="11" s="1"/>
  <c r="J12" i="22" s="1"/>
  <c r="G49" i="11"/>
  <c r="H49" i="11"/>
  <c r="I49" i="11"/>
  <c r="L49" i="11"/>
  <c r="P10" i="33" s="1"/>
  <c r="M49" i="11"/>
  <c r="Q10" i="33"/>
  <c r="N11" i="33"/>
  <c r="K54" i="11"/>
  <c r="O15" i="33" s="1"/>
  <c r="N15" i="33" s="1"/>
  <c r="C55" i="11"/>
  <c r="D55" i="11"/>
  <c r="E55" i="11"/>
  <c r="F55" i="11"/>
  <c r="G55" i="11"/>
  <c r="H55" i="11"/>
  <c r="I55" i="11"/>
  <c r="L55" i="11"/>
  <c r="P16" i="33" s="1"/>
  <c r="M55" i="11"/>
  <c r="Q16" i="33" s="1"/>
  <c r="K56" i="11"/>
  <c r="K57" i="11"/>
  <c r="O18" i="33" s="1"/>
  <c r="N18" i="33" s="1"/>
  <c r="C59" i="11"/>
  <c r="D59" i="11"/>
  <c r="E59" i="11"/>
  <c r="F59" i="11"/>
  <c r="G59" i="11"/>
  <c r="H59" i="11"/>
  <c r="I59" i="11"/>
  <c r="L59" i="11"/>
  <c r="P20" i="33" s="1"/>
  <c r="M59" i="11"/>
  <c r="M65" i="11" s="1"/>
  <c r="Q20" i="33"/>
  <c r="K62" i="11"/>
  <c r="O23" i="33"/>
  <c r="N23" i="33" s="1"/>
  <c r="K70" i="11"/>
  <c r="K71" i="11"/>
  <c r="C72" i="11"/>
  <c r="C76" i="11" s="1"/>
  <c r="D72" i="11"/>
  <c r="E72" i="11"/>
  <c r="E76" i="11"/>
  <c r="F72" i="11"/>
  <c r="F76" i="11"/>
  <c r="G72" i="11"/>
  <c r="G76" i="11"/>
  <c r="H72" i="11"/>
  <c r="H76" i="11"/>
  <c r="I72" i="11"/>
  <c r="I76" i="11" s="1"/>
  <c r="L72" i="11"/>
  <c r="K30" i="7" s="1"/>
  <c r="M72" i="11"/>
  <c r="M76" i="11" s="1"/>
  <c r="K74" i="11"/>
  <c r="A77" i="11"/>
  <c r="A2" i="10"/>
  <c r="B2" i="10"/>
  <c r="C3" i="10"/>
  <c r="D3" i="10"/>
  <c r="E3" i="10"/>
  <c r="F3" i="10"/>
  <c r="G3" i="10"/>
  <c r="H3" i="10"/>
  <c r="I3" i="10"/>
  <c r="J3" i="10"/>
  <c r="K3" i="10"/>
  <c r="L3" i="10"/>
  <c r="M3" i="10"/>
  <c r="H7" i="10"/>
  <c r="G7" i="7" s="1"/>
  <c r="J13" i="10"/>
  <c r="K13" i="10" s="1"/>
  <c r="J14" i="10"/>
  <c r="K14" i="10" s="1"/>
  <c r="J15" i="10"/>
  <c r="K15" i="10" s="1"/>
  <c r="P14" i="30" s="1"/>
  <c r="N14" i="30" s="1"/>
  <c r="O14" i="30" s="1"/>
  <c r="J16" i="10"/>
  <c r="K16" i="10"/>
  <c r="P15" i="30" s="1"/>
  <c r="N15" i="30"/>
  <c r="O15" i="30" s="1"/>
  <c r="J17" i="10"/>
  <c r="K17" i="10" s="1"/>
  <c r="P16" i="30"/>
  <c r="N16" i="30" s="1"/>
  <c r="O16" i="30" s="1"/>
  <c r="J18" i="10"/>
  <c r="K18" i="10"/>
  <c r="P17" i="30" s="1"/>
  <c r="N17" i="30" s="1"/>
  <c r="O17" i="30" s="1"/>
  <c r="J19" i="10"/>
  <c r="K19" i="10" s="1"/>
  <c r="P18" i="30" s="1"/>
  <c r="N18" i="30" s="1"/>
  <c r="O18" i="30" s="1"/>
  <c r="J20" i="10"/>
  <c r="K20" i="10"/>
  <c r="J22" i="10"/>
  <c r="K22" i="10"/>
  <c r="P21" i="30" s="1"/>
  <c r="N21" i="30" s="1"/>
  <c r="O21" i="30" s="1"/>
  <c r="C13" i="7"/>
  <c r="H26" i="10"/>
  <c r="J27" i="10"/>
  <c r="K27" i="10" s="1"/>
  <c r="P26" i="30" s="1"/>
  <c r="N26" i="30" s="1"/>
  <c r="O26" i="30" s="1"/>
  <c r="J28" i="10"/>
  <c r="K28" i="10" s="1"/>
  <c r="P27" i="30" s="1"/>
  <c r="N27" i="30" s="1"/>
  <c r="O27" i="30" s="1"/>
  <c r="D29" i="10"/>
  <c r="C15" i="7" s="1"/>
  <c r="M29" i="10"/>
  <c r="R28" i="30" s="1"/>
  <c r="J30" i="10"/>
  <c r="K30" i="10"/>
  <c r="P29" i="30" s="1"/>
  <c r="N29" i="30"/>
  <c r="O29" i="30" s="1"/>
  <c r="D31" i="10"/>
  <c r="E31" i="10"/>
  <c r="M31" i="10"/>
  <c r="L17" i="7" s="1"/>
  <c r="J32" i="10"/>
  <c r="K32" i="10" s="1"/>
  <c r="P31" i="30" s="1"/>
  <c r="N31" i="30" s="1"/>
  <c r="O31" i="30" s="1"/>
  <c r="J34" i="10"/>
  <c r="K34" i="10"/>
  <c r="P33" i="30" s="1"/>
  <c r="N33" i="30" s="1"/>
  <c r="O33" i="30" s="1"/>
  <c r="J36" i="10"/>
  <c r="K36" i="10"/>
  <c r="P35" i="30" s="1"/>
  <c r="N35" i="30" s="1"/>
  <c r="O35" i="30" s="1"/>
  <c r="J40" i="10"/>
  <c r="K40" i="10" s="1"/>
  <c r="J41" i="10"/>
  <c r="K41" i="10"/>
  <c r="P40" i="30" s="1"/>
  <c r="N40" i="30"/>
  <c r="J42" i="10"/>
  <c r="K42" i="10"/>
  <c r="P41" i="30" s="1"/>
  <c r="N41" i="30"/>
  <c r="J44" i="10"/>
  <c r="K44" i="10" s="1"/>
  <c r="J46" i="10"/>
  <c r="K46" i="10"/>
  <c r="J48" i="10"/>
  <c r="K48" i="10"/>
  <c r="A50" i="10"/>
  <c r="A2" i="47"/>
  <c r="B2" i="47"/>
  <c r="C3" i="47"/>
  <c r="D3" i="47"/>
  <c r="E3" i="47"/>
  <c r="F3" i="47"/>
  <c r="G3" i="47"/>
  <c r="H3" i="47"/>
  <c r="I3" i="47"/>
  <c r="J3" i="47"/>
  <c r="K3" i="47"/>
  <c r="L3" i="47"/>
  <c r="M3" i="47"/>
  <c r="C7" i="47"/>
  <c r="D7" i="47"/>
  <c r="D7" i="8" s="1"/>
  <c r="E7" i="47"/>
  <c r="F7" i="47"/>
  <c r="G7" i="47"/>
  <c r="H7" i="47"/>
  <c r="I7" i="47"/>
  <c r="I7" i="8" s="1"/>
  <c r="L7" i="47"/>
  <c r="L7" i="8" s="1"/>
  <c r="Q6" i="28" s="1"/>
  <c r="M7" i="47"/>
  <c r="A8" i="47"/>
  <c r="A176" i="47" s="1"/>
  <c r="J8" i="47"/>
  <c r="K8" i="47" s="1"/>
  <c r="A9" i="47"/>
  <c r="A177" i="47" s="1"/>
  <c r="J9" i="47"/>
  <c r="K9" i="47" s="1"/>
  <c r="A10" i="47"/>
  <c r="J10" i="47"/>
  <c r="K10" i="47"/>
  <c r="A11" i="47"/>
  <c r="A179" i="47"/>
  <c r="J11" i="47"/>
  <c r="K11" i="47"/>
  <c r="A12" i="47"/>
  <c r="A180" i="47"/>
  <c r="J12" i="47"/>
  <c r="K12" i="47"/>
  <c r="A13" i="47"/>
  <c r="A181" i="47"/>
  <c r="J13" i="47"/>
  <c r="K13" i="47"/>
  <c r="A14" i="47"/>
  <c r="A182" i="47"/>
  <c r="J14" i="47"/>
  <c r="K14" i="47"/>
  <c r="A15" i="47"/>
  <c r="A183" i="47"/>
  <c r="J15" i="47"/>
  <c r="K15" i="47"/>
  <c r="A16" i="47"/>
  <c r="J16" i="47"/>
  <c r="K16" i="47" s="1"/>
  <c r="A17" i="47"/>
  <c r="A185" i="47" s="1"/>
  <c r="J17" i="47"/>
  <c r="K17" i="47" s="1"/>
  <c r="C18" i="47"/>
  <c r="C8" i="8" s="1"/>
  <c r="D18" i="47"/>
  <c r="E18" i="47"/>
  <c r="F18" i="47"/>
  <c r="F8" i="8" s="1"/>
  <c r="G18" i="47"/>
  <c r="H18" i="47"/>
  <c r="I18" i="47"/>
  <c r="L18" i="47"/>
  <c r="L8" i="8" s="1"/>
  <c r="Q7" i="28" s="1"/>
  <c r="M18" i="47"/>
  <c r="A19" i="47"/>
  <c r="J19" i="47"/>
  <c r="K19" i="47"/>
  <c r="A20" i="47"/>
  <c r="J20" i="47"/>
  <c r="K20" i="47" s="1"/>
  <c r="A21" i="47"/>
  <c r="A189" i="47" s="1"/>
  <c r="J21" i="47"/>
  <c r="K21" i="47" s="1"/>
  <c r="A22" i="47"/>
  <c r="A190" i="47" s="1"/>
  <c r="J22" i="47"/>
  <c r="K22" i="47"/>
  <c r="A23" i="47"/>
  <c r="J23" i="47"/>
  <c r="K23" i="47"/>
  <c r="A24" i="47"/>
  <c r="J24" i="47"/>
  <c r="K24" i="47" s="1"/>
  <c r="A25" i="47"/>
  <c r="A193" i="47"/>
  <c r="J25" i="47"/>
  <c r="K25" i="47" s="1"/>
  <c r="A26" i="47"/>
  <c r="A194" i="47"/>
  <c r="J26" i="47"/>
  <c r="K26" i="47" s="1"/>
  <c r="A27" i="47"/>
  <c r="J27" i="47"/>
  <c r="K27" i="47"/>
  <c r="A28" i="47"/>
  <c r="A196" i="47"/>
  <c r="J28" i="47"/>
  <c r="K28" i="47"/>
  <c r="C29" i="47"/>
  <c r="C9" i="8"/>
  <c r="D29" i="47"/>
  <c r="D9" i="8" s="1"/>
  <c r="E29" i="47"/>
  <c r="F29" i="47"/>
  <c r="G29" i="47"/>
  <c r="G9" i="8" s="1"/>
  <c r="H29" i="47"/>
  <c r="H9" i="8"/>
  <c r="I29" i="47"/>
  <c r="I9" i="8" s="1"/>
  <c r="L29" i="47"/>
  <c r="M29" i="47"/>
  <c r="M9" i="8" s="1"/>
  <c r="R8" i="28" s="1"/>
  <c r="A30" i="47"/>
  <c r="A198" i="47" s="1"/>
  <c r="J30" i="47"/>
  <c r="K30" i="47"/>
  <c r="A31" i="47"/>
  <c r="A199" i="47" s="1"/>
  <c r="J31" i="47"/>
  <c r="K31" i="47"/>
  <c r="A32" i="47"/>
  <c r="A200" i="47" s="1"/>
  <c r="J32" i="47"/>
  <c r="K32" i="47"/>
  <c r="A33" i="47"/>
  <c r="J33" i="47"/>
  <c r="K33" i="47" s="1"/>
  <c r="A34" i="47"/>
  <c r="J34" i="47"/>
  <c r="K34" i="47"/>
  <c r="A35" i="47"/>
  <c r="A203" i="47"/>
  <c r="J35" i="47"/>
  <c r="K35" i="47"/>
  <c r="A36" i="47"/>
  <c r="J36" i="47"/>
  <c r="K36" i="47"/>
  <c r="A37" i="47"/>
  <c r="J37" i="47"/>
  <c r="K37" i="47"/>
  <c r="A38" i="47"/>
  <c r="A206" i="47"/>
  <c r="J38" i="47"/>
  <c r="K38" i="47"/>
  <c r="A39" i="47"/>
  <c r="J39" i="47"/>
  <c r="K39" i="47" s="1"/>
  <c r="C40" i="47"/>
  <c r="C10" i="8"/>
  <c r="D40" i="47"/>
  <c r="E40" i="47"/>
  <c r="F40" i="47"/>
  <c r="G40" i="47"/>
  <c r="G10" i="8"/>
  <c r="H40" i="47"/>
  <c r="H10" i="8"/>
  <c r="I40" i="47"/>
  <c r="I10" i="8"/>
  <c r="L40" i="47"/>
  <c r="L10" i="8"/>
  <c r="M40" i="47"/>
  <c r="M10" i="8"/>
  <c r="R9" i="28" s="1"/>
  <c r="A41" i="47"/>
  <c r="A209" i="47" s="1"/>
  <c r="J41" i="47"/>
  <c r="K41" i="47" s="1"/>
  <c r="A42" i="47"/>
  <c r="A210" i="47"/>
  <c r="J42" i="47"/>
  <c r="K42" i="47" s="1"/>
  <c r="A43" i="47"/>
  <c r="A211" i="47"/>
  <c r="J43" i="47"/>
  <c r="K43" i="47" s="1"/>
  <c r="A44" i="47"/>
  <c r="A212" i="47"/>
  <c r="J44" i="47"/>
  <c r="K44" i="47" s="1"/>
  <c r="A45" i="47"/>
  <c r="A213" i="47" s="1"/>
  <c r="J45" i="47"/>
  <c r="K45" i="47"/>
  <c r="A46" i="47"/>
  <c r="A214" i="47" s="1"/>
  <c r="J46" i="47"/>
  <c r="K46" i="47"/>
  <c r="A47" i="47"/>
  <c r="A215" i="47" s="1"/>
  <c r="J47" i="47"/>
  <c r="K47" i="47"/>
  <c r="A48" i="47"/>
  <c r="A216" i="47" s="1"/>
  <c r="J48" i="47"/>
  <c r="K48" i="47"/>
  <c r="A49" i="47"/>
  <c r="A217" i="47" s="1"/>
  <c r="J49" i="47"/>
  <c r="K49" i="47"/>
  <c r="A50" i="47"/>
  <c r="A218" i="47" s="1"/>
  <c r="J50" i="47"/>
  <c r="K50" i="47"/>
  <c r="C51" i="47"/>
  <c r="C11" i="8" s="1"/>
  <c r="D51" i="47"/>
  <c r="D11" i="8"/>
  <c r="E51" i="47"/>
  <c r="F51" i="47"/>
  <c r="F11" i="8"/>
  <c r="G51" i="47"/>
  <c r="G11" i="8"/>
  <c r="H51" i="47"/>
  <c r="H11" i="8"/>
  <c r="I51" i="47"/>
  <c r="L51" i="47"/>
  <c r="L11" i="8" s="1"/>
  <c r="Q10" i="28" s="1"/>
  <c r="M51" i="47"/>
  <c r="M11" i="8" s="1"/>
  <c r="R10" i="28" s="1"/>
  <c r="A52" i="47"/>
  <c r="A220" i="47" s="1"/>
  <c r="J52" i="47"/>
  <c r="K52" i="47"/>
  <c r="A53" i="47"/>
  <c r="A221" i="47" s="1"/>
  <c r="J53" i="47"/>
  <c r="K53" i="47"/>
  <c r="A54" i="47"/>
  <c r="J54" i="47"/>
  <c r="K54" i="47"/>
  <c r="A55" i="47"/>
  <c r="A223" i="47"/>
  <c r="J55" i="47"/>
  <c r="K55" i="47"/>
  <c r="A56" i="47"/>
  <c r="J56" i="47"/>
  <c r="K56" i="47" s="1"/>
  <c r="A57" i="47"/>
  <c r="J57" i="47"/>
  <c r="K57" i="47"/>
  <c r="A58" i="47"/>
  <c r="A226" i="47"/>
  <c r="J58" i="47"/>
  <c r="K58" i="47"/>
  <c r="A59" i="47"/>
  <c r="A227" i="47"/>
  <c r="J59" i="47"/>
  <c r="K59" i="47"/>
  <c r="A60" i="47"/>
  <c r="J60" i="47"/>
  <c r="K60" i="47"/>
  <c r="A61" i="47"/>
  <c r="A229" i="47" s="1"/>
  <c r="J61" i="47"/>
  <c r="K61" i="47"/>
  <c r="C62" i="47"/>
  <c r="D62" i="47"/>
  <c r="E62" i="47"/>
  <c r="E12" i="8"/>
  <c r="F62" i="47"/>
  <c r="G62" i="47"/>
  <c r="H62" i="47"/>
  <c r="H12" i="8"/>
  <c r="I62" i="47"/>
  <c r="L62" i="47"/>
  <c r="L12" i="8" s="1"/>
  <c r="Q11" i="28" s="1"/>
  <c r="M62" i="47"/>
  <c r="M12" i="8" s="1"/>
  <c r="R11" i="28" s="1"/>
  <c r="A63" i="47"/>
  <c r="J63" i="47"/>
  <c r="K63" i="47" s="1"/>
  <c r="A64" i="47"/>
  <c r="A232" i="47"/>
  <c r="J64" i="47"/>
  <c r="K64" i="47" s="1"/>
  <c r="A65" i="47"/>
  <c r="A233" i="47"/>
  <c r="J65" i="47"/>
  <c r="K65" i="47" s="1"/>
  <c r="A66" i="47"/>
  <c r="A234" i="47"/>
  <c r="J66" i="47"/>
  <c r="K66" i="47" s="1"/>
  <c r="A67" i="47"/>
  <c r="A235" i="47"/>
  <c r="J67" i="47"/>
  <c r="K67" i="47" s="1"/>
  <c r="A68" i="47"/>
  <c r="A236" i="47"/>
  <c r="J68" i="47"/>
  <c r="K68" i="47" s="1"/>
  <c r="A69" i="47"/>
  <c r="A237" i="47"/>
  <c r="J69" i="47"/>
  <c r="K69" i="47" s="1"/>
  <c r="A70" i="47"/>
  <c r="A238" i="47"/>
  <c r="J70" i="47"/>
  <c r="K70" i="47" s="1"/>
  <c r="A71" i="47"/>
  <c r="J71" i="47"/>
  <c r="K71" i="47"/>
  <c r="A72" i="47"/>
  <c r="A240" i="47"/>
  <c r="J72" i="47"/>
  <c r="K72" i="47"/>
  <c r="C73" i="47"/>
  <c r="D73" i="47"/>
  <c r="E73" i="47"/>
  <c r="E13" i="8"/>
  <c r="F73" i="47"/>
  <c r="F13" i="8"/>
  <c r="G73" i="47"/>
  <c r="H73" i="47"/>
  <c r="H13" i="8" s="1"/>
  <c r="I73" i="47"/>
  <c r="I13" i="8"/>
  <c r="L73" i="47"/>
  <c r="L13" i="8" s="1"/>
  <c r="Q12" i="28" s="1"/>
  <c r="M73" i="47"/>
  <c r="M13" i="8" s="1"/>
  <c r="R12" i="28" s="1"/>
  <c r="A74" i="47"/>
  <c r="A242" i="47" s="1"/>
  <c r="J74" i="47"/>
  <c r="K74" i="47"/>
  <c r="A75" i="47"/>
  <c r="A243" i="47" s="1"/>
  <c r="J75" i="47"/>
  <c r="K75" i="47"/>
  <c r="A76" i="47"/>
  <c r="J76" i="47"/>
  <c r="K76" i="47"/>
  <c r="A77" i="47"/>
  <c r="A245" i="47"/>
  <c r="J77" i="47"/>
  <c r="K77" i="47"/>
  <c r="A78" i="47"/>
  <c r="J78" i="47"/>
  <c r="K78" i="47" s="1"/>
  <c r="A79" i="47"/>
  <c r="A247" i="47"/>
  <c r="J79" i="47"/>
  <c r="K79" i="47" s="1"/>
  <c r="A80" i="47"/>
  <c r="J80" i="47"/>
  <c r="K80" i="47"/>
  <c r="A81" i="47"/>
  <c r="J81" i="47"/>
  <c r="K81" i="47"/>
  <c r="A82" i="47"/>
  <c r="A250" i="47" s="1"/>
  <c r="J82" i="47"/>
  <c r="K82" i="47"/>
  <c r="A83" i="47"/>
  <c r="A251" i="47" s="1"/>
  <c r="J83" i="47"/>
  <c r="K83" i="47"/>
  <c r="C84" i="47"/>
  <c r="C14" i="8" s="1"/>
  <c r="D84" i="47"/>
  <c r="E84" i="47"/>
  <c r="F84" i="47"/>
  <c r="F14" i="8" s="1"/>
  <c r="G84" i="47"/>
  <c r="H84" i="47"/>
  <c r="I84" i="47"/>
  <c r="I14" i="8" s="1"/>
  <c r="L84" i="47"/>
  <c r="L14" i="8"/>
  <c r="Q13" i="28"/>
  <c r="M84" i="47"/>
  <c r="M14" i="8" s="1"/>
  <c r="R13" i="28" s="1"/>
  <c r="A85" i="47"/>
  <c r="A253" i="47"/>
  <c r="J85" i="47"/>
  <c r="K85" i="47" s="1"/>
  <c r="A86" i="47"/>
  <c r="A254" i="47"/>
  <c r="J86" i="47"/>
  <c r="K86" i="47" s="1"/>
  <c r="A87" i="47"/>
  <c r="A255" i="47"/>
  <c r="J87" i="47"/>
  <c r="K87" i="47" s="1"/>
  <c r="A88" i="47"/>
  <c r="A256" i="47"/>
  <c r="J88" i="47"/>
  <c r="K88" i="47" s="1"/>
  <c r="A89" i="47"/>
  <c r="A257" i="47"/>
  <c r="J89" i="47"/>
  <c r="K89" i="47" s="1"/>
  <c r="A90" i="47"/>
  <c r="A258" i="47" s="1"/>
  <c r="J90" i="47"/>
  <c r="K90" i="47" s="1"/>
  <c r="A91" i="47"/>
  <c r="J91" i="47"/>
  <c r="K91" i="47"/>
  <c r="A92" i="47"/>
  <c r="A260" i="47"/>
  <c r="J92" i="47"/>
  <c r="K92" i="47"/>
  <c r="A93" i="47"/>
  <c r="J93" i="47"/>
  <c r="K93" i="47" s="1"/>
  <c r="A94" i="47"/>
  <c r="A262" i="47" s="1"/>
  <c r="J94" i="47"/>
  <c r="K94" i="47" s="1"/>
  <c r="C95" i="47"/>
  <c r="D95" i="47"/>
  <c r="D15" i="8"/>
  <c r="E95" i="47"/>
  <c r="F95" i="47"/>
  <c r="F15" i="8" s="1"/>
  <c r="G95" i="47"/>
  <c r="G15" i="8" s="1"/>
  <c r="H95" i="47"/>
  <c r="I95" i="47"/>
  <c r="L95" i="47"/>
  <c r="M95" i="47"/>
  <c r="M15" i="8"/>
  <c r="R14" i="28" s="1"/>
  <c r="A96" i="47"/>
  <c r="A264" i="47" s="1"/>
  <c r="J96" i="47"/>
  <c r="K96" i="47" s="1"/>
  <c r="A97" i="47"/>
  <c r="A265" i="47" s="1"/>
  <c r="J97" i="47"/>
  <c r="K97" i="47" s="1"/>
  <c r="A98" i="47"/>
  <c r="A266" i="47" s="1"/>
  <c r="J98" i="47"/>
  <c r="K98" i="47" s="1"/>
  <c r="A99" i="47"/>
  <c r="A267" i="47" s="1"/>
  <c r="J99" i="47"/>
  <c r="K99" i="47" s="1"/>
  <c r="A100" i="47"/>
  <c r="A268" i="47" s="1"/>
  <c r="J100" i="47"/>
  <c r="K100" i="47" s="1"/>
  <c r="A101" i="47"/>
  <c r="A269" i="47" s="1"/>
  <c r="J101" i="47"/>
  <c r="K101" i="47" s="1"/>
  <c r="A102" i="47"/>
  <c r="A270" i="47" s="1"/>
  <c r="J102" i="47"/>
  <c r="K102" i="47" s="1"/>
  <c r="A103" i="47"/>
  <c r="A271" i="47" s="1"/>
  <c r="J103" i="47"/>
  <c r="K103" i="47" s="1"/>
  <c r="A104" i="47"/>
  <c r="A272" i="47" s="1"/>
  <c r="J104" i="47"/>
  <c r="K104" i="47" s="1"/>
  <c r="A105" i="47"/>
  <c r="A273" i="47" s="1"/>
  <c r="J105" i="47"/>
  <c r="K105" i="47" s="1"/>
  <c r="C106" i="47"/>
  <c r="D106" i="47"/>
  <c r="D16" i="8"/>
  <c r="E106" i="47"/>
  <c r="F106" i="47"/>
  <c r="F16" i="8" s="1"/>
  <c r="G106" i="47"/>
  <c r="H106" i="47"/>
  <c r="I106" i="47"/>
  <c r="I16" i="8" s="1"/>
  <c r="L106" i="47"/>
  <c r="L16" i="8" s="1"/>
  <c r="Q15" i="28" s="1"/>
  <c r="M106" i="47"/>
  <c r="M16" i="8"/>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J112" i="47"/>
  <c r="K112" i="47"/>
  <c r="A113" i="47"/>
  <c r="A281" i="47"/>
  <c r="J113" i="47"/>
  <c r="K113" i="47"/>
  <c r="A114" i="47"/>
  <c r="A282" i="47"/>
  <c r="J114" i="47"/>
  <c r="K114" i="47"/>
  <c r="A115" i="47"/>
  <c r="A283" i="47"/>
  <c r="J115" i="47"/>
  <c r="K115" i="47"/>
  <c r="A116" i="47"/>
  <c r="A284" i="47"/>
  <c r="J116" i="47"/>
  <c r="K116" i="47"/>
  <c r="C117" i="47"/>
  <c r="D117" i="47"/>
  <c r="D17" i="8" s="1"/>
  <c r="E117" i="47"/>
  <c r="F117" i="47"/>
  <c r="F17" i="8"/>
  <c r="G117" i="47"/>
  <c r="G17" i="8"/>
  <c r="H117" i="47"/>
  <c r="H17" i="8"/>
  <c r="I117" i="47"/>
  <c r="I17" i="8"/>
  <c r="L117" i="47"/>
  <c r="L17" i="8"/>
  <c r="Q16" i="28" s="1"/>
  <c r="M117" i="47"/>
  <c r="M17" i="8" s="1"/>
  <c r="R16" i="28" s="1"/>
  <c r="A118" i="47"/>
  <c r="A286" i="47"/>
  <c r="J118" i="47"/>
  <c r="K118" i="47"/>
  <c r="A119" i="47"/>
  <c r="A287" i="47"/>
  <c r="J119" i="47"/>
  <c r="K119" i="47"/>
  <c r="A120" i="47"/>
  <c r="A288" i="47"/>
  <c r="J120" i="47"/>
  <c r="K120" i="47"/>
  <c r="A121" i="47"/>
  <c r="J121" i="47"/>
  <c r="K121" i="47" s="1"/>
  <c r="A122" i="47"/>
  <c r="A290" i="47" s="1"/>
  <c r="J122" i="47"/>
  <c r="K122" i="47" s="1"/>
  <c r="A123" i="47"/>
  <c r="A291" i="47" s="1"/>
  <c r="J123" i="47"/>
  <c r="K123" i="47" s="1"/>
  <c r="A124" i="47"/>
  <c r="A292" i="47" s="1"/>
  <c r="J124" i="47"/>
  <c r="K124" i="47" s="1"/>
  <c r="A125" i="47"/>
  <c r="A293" i="47" s="1"/>
  <c r="J125" i="47"/>
  <c r="K125" i="47" s="1"/>
  <c r="A126" i="47"/>
  <c r="J126" i="47"/>
  <c r="K126" i="47"/>
  <c r="A127" i="47"/>
  <c r="A295" i="47"/>
  <c r="J127" i="47"/>
  <c r="K127" i="47"/>
  <c r="C128" i="47"/>
  <c r="C18" i="8"/>
  <c r="D128" i="47"/>
  <c r="E128" i="47"/>
  <c r="F128" i="47"/>
  <c r="F18" i="8"/>
  <c r="G128" i="47"/>
  <c r="G18" i="8"/>
  <c r="H128" i="47"/>
  <c r="I128" i="47"/>
  <c r="I18" i="8"/>
  <c r="L128" i="47"/>
  <c r="L18" i="8" s="1"/>
  <c r="Q17" i="28" s="1"/>
  <c r="M128" i="47"/>
  <c r="M18" i="8"/>
  <c r="A129" i="47"/>
  <c r="A297" i="47"/>
  <c r="J129" i="47"/>
  <c r="K129" i="47"/>
  <c r="A130" i="47"/>
  <c r="A298" i="47"/>
  <c r="J130" i="47"/>
  <c r="K130" i="47"/>
  <c r="A131" i="47"/>
  <c r="A299" i="47"/>
  <c r="J131" i="47"/>
  <c r="K131" i="47"/>
  <c r="A132" i="47"/>
  <c r="J132" i="47"/>
  <c r="K132" i="47" s="1"/>
  <c r="A133" i="47"/>
  <c r="A301" i="47" s="1"/>
  <c r="J133" i="47"/>
  <c r="K133" i="47" s="1"/>
  <c r="A134" i="47"/>
  <c r="A302" i="47" s="1"/>
  <c r="J134" i="47"/>
  <c r="K134" i="47"/>
  <c r="A135" i="47"/>
  <c r="A303" i="47" s="1"/>
  <c r="J135" i="47"/>
  <c r="K135" i="47"/>
  <c r="A136" i="47"/>
  <c r="A304" i="47" s="1"/>
  <c r="J136" i="47"/>
  <c r="K136" i="47"/>
  <c r="A137" i="47"/>
  <c r="A305" i="47" s="1"/>
  <c r="J137" i="47"/>
  <c r="K137" i="47"/>
  <c r="A138" i="47"/>
  <c r="J138" i="47"/>
  <c r="K138" i="47"/>
  <c r="C139" i="47"/>
  <c r="C19" i="8"/>
  <c r="D139" i="47"/>
  <c r="D19" i="8"/>
  <c r="E139" i="47"/>
  <c r="F139" i="47"/>
  <c r="F19" i="8" s="1"/>
  <c r="G139" i="47"/>
  <c r="H139" i="47"/>
  <c r="I139" i="47"/>
  <c r="I19" i="8" s="1"/>
  <c r="L139" i="47"/>
  <c r="L19" i="8"/>
  <c r="Q18" i="28"/>
  <c r="M139" i="47"/>
  <c r="A140" i="47"/>
  <c r="A308" i="47" s="1"/>
  <c r="J140" i="47"/>
  <c r="K140" i="47" s="1"/>
  <c r="A141" i="47"/>
  <c r="A309" i="47" s="1"/>
  <c r="J141" i="47"/>
  <c r="K141" i="47" s="1"/>
  <c r="A142" i="47"/>
  <c r="A310" i="47" s="1"/>
  <c r="J142" i="47"/>
  <c r="K142" i="47" s="1"/>
  <c r="A143" i="47"/>
  <c r="J143" i="47"/>
  <c r="K143" i="47"/>
  <c r="A144" i="47"/>
  <c r="A312" i="47"/>
  <c r="J144" i="47"/>
  <c r="K144" i="47"/>
  <c r="A145" i="47"/>
  <c r="A313" i="47"/>
  <c r="J145" i="47"/>
  <c r="K145" i="47"/>
  <c r="A146" i="47"/>
  <c r="A314" i="47"/>
  <c r="J146" i="47"/>
  <c r="K146" i="47"/>
  <c r="A147" i="47"/>
  <c r="A315" i="47"/>
  <c r="J147" i="47"/>
  <c r="K147" i="47"/>
  <c r="A148" i="47"/>
  <c r="A316" i="47"/>
  <c r="J148" i="47"/>
  <c r="K148" i="47"/>
  <c r="A149" i="47"/>
  <c r="A317" i="47"/>
  <c r="J149" i="47"/>
  <c r="K149" i="47"/>
  <c r="C150" i="47"/>
  <c r="C20" i="8"/>
  <c r="D150" i="47"/>
  <c r="E150" i="47"/>
  <c r="F150" i="47"/>
  <c r="F20" i="8"/>
  <c r="G150" i="47"/>
  <c r="G20" i="8"/>
  <c r="H150" i="47"/>
  <c r="H20" i="8"/>
  <c r="I150" i="47"/>
  <c r="I20" i="8"/>
  <c r="L150" i="47"/>
  <c r="M150" i="47"/>
  <c r="M20" i="8"/>
  <c r="R19" i="28"/>
  <c r="A151" i="47"/>
  <c r="J151" i="47"/>
  <c r="K151" i="47"/>
  <c r="A152" i="47"/>
  <c r="A320" i="47" s="1"/>
  <c r="J152" i="47"/>
  <c r="K152" i="47"/>
  <c r="A153" i="47"/>
  <c r="A321" i="47" s="1"/>
  <c r="J153" i="47"/>
  <c r="K153" i="47"/>
  <c r="A154" i="47"/>
  <c r="A322" i="47" s="1"/>
  <c r="J154" i="47"/>
  <c r="K154" i="47"/>
  <c r="A155" i="47"/>
  <c r="A323" i="47" s="1"/>
  <c r="J155" i="47"/>
  <c r="K155" i="47"/>
  <c r="A156" i="47"/>
  <c r="A324" i="47" s="1"/>
  <c r="J156" i="47"/>
  <c r="K156" i="47"/>
  <c r="A157" i="47"/>
  <c r="A325" i="47" s="1"/>
  <c r="J157" i="47"/>
  <c r="K157" i="47"/>
  <c r="A158" i="47"/>
  <c r="A326" i="47" s="1"/>
  <c r="J158" i="47"/>
  <c r="K158" i="47"/>
  <c r="A159" i="47"/>
  <c r="A327" i="47" s="1"/>
  <c r="J159" i="47"/>
  <c r="K159" i="47"/>
  <c r="A160" i="47"/>
  <c r="A328" i="47" s="1"/>
  <c r="J160" i="47"/>
  <c r="K160" i="47"/>
  <c r="C161" i="47"/>
  <c r="D161" i="47"/>
  <c r="E161" i="47"/>
  <c r="E21" i="8"/>
  <c r="F161" i="47"/>
  <c r="G161" i="47"/>
  <c r="H161" i="47"/>
  <c r="H21" i="8"/>
  <c r="I161" i="47"/>
  <c r="L161" i="47"/>
  <c r="L21" i="8"/>
  <c r="M161" i="47"/>
  <c r="M21" i="8" s="1"/>
  <c r="R20" i="28" s="1"/>
  <c r="A162" i="47"/>
  <c r="A330" i="47"/>
  <c r="J162" i="47"/>
  <c r="K162" i="47"/>
  <c r="A163" i="47"/>
  <c r="A331" i="47"/>
  <c r="J163" i="47"/>
  <c r="K163" i="47"/>
  <c r="A164" i="47"/>
  <c r="A332" i="47"/>
  <c r="J164" i="47"/>
  <c r="K164" i="47"/>
  <c r="A165" i="47"/>
  <c r="J165" i="47"/>
  <c r="K165" i="47" s="1"/>
  <c r="A166" i="47"/>
  <c r="A334" i="47"/>
  <c r="J166" i="47"/>
  <c r="K166" i="47" s="1"/>
  <c r="A167" i="47"/>
  <c r="A335" i="47"/>
  <c r="J167" i="47"/>
  <c r="K167" i="47" s="1"/>
  <c r="A168" i="47"/>
  <c r="A336" i="47"/>
  <c r="J168" i="47"/>
  <c r="K168" i="47" s="1"/>
  <c r="A169" i="47"/>
  <c r="A337" i="47"/>
  <c r="J169" i="47"/>
  <c r="K169" i="47" s="1"/>
  <c r="A170" i="47"/>
  <c r="A338" i="47"/>
  <c r="J170" i="47"/>
  <c r="K170" i="47" s="1"/>
  <c r="A171" i="47"/>
  <c r="A339" i="47"/>
  <c r="J171" i="47"/>
  <c r="K171" i="47" s="1"/>
  <c r="C175" i="47"/>
  <c r="C25" i="8" s="1"/>
  <c r="D175" i="47"/>
  <c r="D25" i="8" s="1"/>
  <c r="E175" i="47"/>
  <c r="F175" i="47"/>
  <c r="F25" i="8"/>
  <c r="G175" i="47"/>
  <c r="G25" i="8"/>
  <c r="H175" i="47"/>
  <c r="H25" i="8"/>
  <c r="I175" i="47"/>
  <c r="L175" i="47"/>
  <c r="L25" i="8" s="1"/>
  <c r="Q24" i="28" s="1"/>
  <c r="M175" i="47"/>
  <c r="M25" i="8" s="1"/>
  <c r="J176" i="47"/>
  <c r="K176" i="47"/>
  <c r="J177" i="47"/>
  <c r="K177" i="47"/>
  <c r="A178" i="47"/>
  <c r="J178" i="47"/>
  <c r="K178" i="47" s="1"/>
  <c r="J179" i="47"/>
  <c r="K179" i="47" s="1"/>
  <c r="J180" i="47"/>
  <c r="K180" i="47"/>
  <c r="J181" i="47"/>
  <c r="K181" i="47" s="1"/>
  <c r="J182" i="47"/>
  <c r="K182" i="47"/>
  <c r="J183" i="47"/>
  <c r="K183" i="47" s="1"/>
  <c r="A184" i="47"/>
  <c r="J184" i="47"/>
  <c r="K184" i="47"/>
  <c r="J185" i="47"/>
  <c r="K185" i="47"/>
  <c r="C186" i="47"/>
  <c r="C26" i="8"/>
  <c r="D186" i="47"/>
  <c r="E186" i="47"/>
  <c r="F186" i="47"/>
  <c r="G186" i="47"/>
  <c r="H186" i="47"/>
  <c r="I186" i="47"/>
  <c r="I26" i="8" s="1"/>
  <c r="J26" i="8" s="1"/>
  <c r="L186" i="47"/>
  <c r="L26" i="8" s="1"/>
  <c r="Q25" i="28" s="1"/>
  <c r="M186" i="47"/>
  <c r="M26" i="8" s="1"/>
  <c r="R25" i="28" s="1"/>
  <c r="A187" i="47"/>
  <c r="J187" i="47"/>
  <c r="K187" i="47"/>
  <c r="A188" i="47"/>
  <c r="J188" i="47"/>
  <c r="K188" i="47" s="1"/>
  <c r="J189" i="47"/>
  <c r="K189" i="47" s="1"/>
  <c r="J190" i="47"/>
  <c r="K190" i="47" s="1"/>
  <c r="A191" i="47"/>
  <c r="J191" i="47"/>
  <c r="K191" i="47"/>
  <c r="A192" i="47"/>
  <c r="J192" i="47"/>
  <c r="K192" i="47" s="1"/>
  <c r="J193" i="47"/>
  <c r="K193" i="47"/>
  <c r="J194" i="47"/>
  <c r="K194" i="47" s="1"/>
  <c r="A195" i="47"/>
  <c r="J195" i="47"/>
  <c r="K195" i="47"/>
  <c r="J196" i="47"/>
  <c r="K196" i="47"/>
  <c r="C197" i="47"/>
  <c r="D197" i="47"/>
  <c r="E197" i="47"/>
  <c r="E27" i="8"/>
  <c r="F197" i="47"/>
  <c r="F27" i="8"/>
  <c r="G197" i="47"/>
  <c r="G27" i="8"/>
  <c r="H197" i="47"/>
  <c r="H27" i="8"/>
  <c r="I197" i="47"/>
  <c r="L197" i="47"/>
  <c r="M197" i="47"/>
  <c r="M27" i="8"/>
  <c r="R26" i="28" s="1"/>
  <c r="J198" i="47"/>
  <c r="K198" i="47" s="1"/>
  <c r="J199" i="47"/>
  <c r="K199" i="47" s="1"/>
  <c r="J200" i="47"/>
  <c r="K200" i="47"/>
  <c r="A201" i="47"/>
  <c r="J201" i="47"/>
  <c r="K201" i="47"/>
  <c r="A202" i="47"/>
  <c r="J202" i="47"/>
  <c r="K202" i="47" s="1"/>
  <c r="J203" i="47"/>
  <c r="K203" i="47"/>
  <c r="A204" i="47"/>
  <c r="J204" i="47"/>
  <c r="K204" i="47"/>
  <c r="A205" i="47"/>
  <c r="J205" i="47"/>
  <c r="K205" i="47" s="1"/>
  <c r="J206" i="47"/>
  <c r="K206" i="47"/>
  <c r="A207" i="47"/>
  <c r="J207" i="47"/>
  <c r="K207" i="47"/>
  <c r="C208" i="47"/>
  <c r="C28" i="8"/>
  <c r="D208" i="47"/>
  <c r="D28" i="8"/>
  <c r="E208" i="47"/>
  <c r="F208" i="47"/>
  <c r="F28" i="8" s="1"/>
  <c r="G208" i="47"/>
  <c r="H208" i="47"/>
  <c r="I208" i="47"/>
  <c r="L208" i="47"/>
  <c r="L28" i="8" s="1"/>
  <c r="Q27" i="28" s="1"/>
  <c r="M208" i="47"/>
  <c r="M28" i="8" s="1"/>
  <c r="R27" i="28" s="1"/>
  <c r="J209" i="47"/>
  <c r="K209" i="47"/>
  <c r="J210" i="47"/>
  <c r="K210" i="47" s="1"/>
  <c r="J211" i="47"/>
  <c r="K211" i="47"/>
  <c r="J212" i="47"/>
  <c r="K212" i="47"/>
  <c r="J213" i="47"/>
  <c r="K213" i="47"/>
  <c r="J214" i="47"/>
  <c r="K214" i="47"/>
  <c r="J215" i="47"/>
  <c r="K215" i="47"/>
  <c r="J216" i="47"/>
  <c r="K216" i="47"/>
  <c r="J217" i="47"/>
  <c r="K217" i="47"/>
  <c r="J218" i="47"/>
  <c r="K218" i="47"/>
  <c r="C219" i="47"/>
  <c r="C29" i="8"/>
  <c r="D219" i="47"/>
  <c r="D29" i="8"/>
  <c r="E219" i="47"/>
  <c r="F219" i="47"/>
  <c r="F29" i="8" s="1"/>
  <c r="G219" i="47"/>
  <c r="G29" i="8"/>
  <c r="H219" i="47"/>
  <c r="H29" i="8" s="1"/>
  <c r="I219" i="47"/>
  <c r="L219" i="47"/>
  <c r="L29" i="8" s="1"/>
  <c r="Q28" i="28" s="1"/>
  <c r="M219" i="47"/>
  <c r="J220" i="47"/>
  <c r="K220" i="47"/>
  <c r="J221" i="47"/>
  <c r="K221" i="47"/>
  <c r="A222" i="47"/>
  <c r="J222" i="47"/>
  <c r="K222" i="47"/>
  <c r="J223" i="47"/>
  <c r="K223" i="47" s="1"/>
  <c r="A224" i="47"/>
  <c r="J224" i="47"/>
  <c r="K224" i="47"/>
  <c r="A225" i="47"/>
  <c r="J225" i="47"/>
  <c r="K225" i="47"/>
  <c r="J226" i="47"/>
  <c r="K226" i="47" s="1"/>
  <c r="J227" i="47"/>
  <c r="K227" i="47"/>
  <c r="A228" i="47"/>
  <c r="J228" i="47"/>
  <c r="K228" i="47"/>
  <c r="J229" i="47"/>
  <c r="K229" i="47"/>
  <c r="C230" i="47"/>
  <c r="C30" i="8"/>
  <c r="D230" i="47"/>
  <c r="D30" i="8"/>
  <c r="E230" i="47"/>
  <c r="E30" i="8"/>
  <c r="F230" i="47"/>
  <c r="G230" i="47"/>
  <c r="G30" i="8" s="1"/>
  <c r="H230" i="47"/>
  <c r="I230" i="47"/>
  <c r="J230" i="47" s="1"/>
  <c r="K230" i="47" s="1"/>
  <c r="L230" i="47"/>
  <c r="L30" i="8" s="1"/>
  <c r="Q29" i="28" s="1"/>
  <c r="M230" i="47"/>
  <c r="M30" i="8"/>
  <c r="R29" i="28" s="1"/>
  <c r="A231" i="47"/>
  <c r="J231" i="47"/>
  <c r="K231" i="47"/>
  <c r="J232" i="47"/>
  <c r="K232" i="47"/>
  <c r="J233" i="47"/>
  <c r="K233" i="47"/>
  <c r="J234" i="47"/>
  <c r="K234" i="47"/>
  <c r="J235" i="47"/>
  <c r="K235" i="47"/>
  <c r="J236" i="47"/>
  <c r="K236" i="47"/>
  <c r="J237" i="47"/>
  <c r="K237" i="47"/>
  <c r="J238" i="47"/>
  <c r="K238" i="47"/>
  <c r="A239" i="47"/>
  <c r="J239" i="47"/>
  <c r="K239" i="47" s="1"/>
  <c r="J240" i="47"/>
  <c r="K240" i="47" s="1"/>
  <c r="C241" i="47"/>
  <c r="C31" i="8" s="1"/>
  <c r="D241" i="47"/>
  <c r="E241" i="47"/>
  <c r="E31" i="8"/>
  <c r="F241" i="47"/>
  <c r="G241" i="47"/>
  <c r="H241" i="47"/>
  <c r="H31" i="8"/>
  <c r="I241" i="47"/>
  <c r="I31" i="8" s="1"/>
  <c r="L241" i="47"/>
  <c r="L31" i="8" s="1"/>
  <c r="Q30" i="28" s="1"/>
  <c r="M241" i="47"/>
  <c r="M31" i="8" s="1"/>
  <c r="R30" i="28" s="1"/>
  <c r="J242" i="47"/>
  <c r="K242" i="47"/>
  <c r="J243" i="47"/>
  <c r="K243" i="47" s="1"/>
  <c r="A244" i="47"/>
  <c r="J244" i="47"/>
  <c r="K244" i="47" s="1"/>
  <c r="J245" i="47"/>
  <c r="K245" i="47" s="1"/>
  <c r="A246" i="47"/>
  <c r="J246" i="47"/>
  <c r="K246" i="47"/>
  <c r="J247" i="47"/>
  <c r="K247" i="47"/>
  <c r="A248" i="47"/>
  <c r="J248" i="47"/>
  <c r="K248" i="47" s="1"/>
  <c r="A249" i="47"/>
  <c r="J249" i="47"/>
  <c r="K249" i="47"/>
  <c r="J250" i="47"/>
  <c r="K250" i="47"/>
  <c r="J251" i="47"/>
  <c r="K251" i="47"/>
  <c r="C252" i="47"/>
  <c r="C32" i="8"/>
  <c r="D252" i="47"/>
  <c r="E252" i="47"/>
  <c r="E32" i="8" s="1"/>
  <c r="F252" i="47"/>
  <c r="F32" i="8" s="1"/>
  <c r="G252" i="47"/>
  <c r="H252" i="47"/>
  <c r="H32" i="8"/>
  <c r="I252" i="47"/>
  <c r="I32" i="8" s="1"/>
  <c r="L252" i="47"/>
  <c r="L32" i="8" s="1"/>
  <c r="Q31" i="28" s="1"/>
  <c r="M252" i="47"/>
  <c r="J253" i="47"/>
  <c r="K253" i="47"/>
  <c r="J254" i="47"/>
  <c r="K254" i="47"/>
  <c r="J255" i="47"/>
  <c r="K255" i="47"/>
  <c r="J256" i="47"/>
  <c r="K256" i="47"/>
  <c r="J257" i="47"/>
  <c r="K257" i="47"/>
  <c r="J258" i="47"/>
  <c r="K258" i="47"/>
  <c r="A259" i="47"/>
  <c r="J259" i="47"/>
  <c r="K259" i="47" s="1"/>
  <c r="J260" i="47"/>
  <c r="K260" i="47" s="1"/>
  <c r="A261" i="47"/>
  <c r="J261" i="47"/>
  <c r="K261" i="47"/>
  <c r="J262" i="47"/>
  <c r="K262" i="47"/>
  <c r="C263" i="47"/>
  <c r="D263" i="47"/>
  <c r="D33" i="8" s="1"/>
  <c r="E263" i="47"/>
  <c r="F263" i="47"/>
  <c r="G263" i="47"/>
  <c r="G33" i="8" s="1"/>
  <c r="H263" i="47"/>
  <c r="H33" i="8" s="1"/>
  <c r="I263" i="47"/>
  <c r="I33" i="8" s="1"/>
  <c r="L263" i="47"/>
  <c r="L33" i="8" s="1"/>
  <c r="Q32" i="28" s="1"/>
  <c r="M263" i="47"/>
  <c r="M33" i="8"/>
  <c r="R32" i="28" s="1"/>
  <c r="J264" i="47"/>
  <c r="K264" i="47" s="1"/>
  <c r="J265" i="47"/>
  <c r="K265" i="47"/>
  <c r="J266" i="47"/>
  <c r="K266" i="47" s="1"/>
  <c r="J267" i="47"/>
  <c r="K267" i="47"/>
  <c r="J268" i="47"/>
  <c r="K268" i="47" s="1"/>
  <c r="J269" i="47"/>
  <c r="K269" i="47"/>
  <c r="J270" i="47"/>
  <c r="K270" i="47" s="1"/>
  <c r="J271" i="47"/>
  <c r="K271" i="47"/>
  <c r="J272" i="47"/>
  <c r="K272" i="47" s="1"/>
  <c r="J273" i="47"/>
  <c r="K273" i="47"/>
  <c r="C274" i="47"/>
  <c r="C34" i="8" s="1"/>
  <c r="D274" i="47"/>
  <c r="E274" i="47"/>
  <c r="F274" i="47"/>
  <c r="F34" i="8" s="1"/>
  <c r="G274" i="47"/>
  <c r="H274" i="47"/>
  <c r="I274" i="47"/>
  <c r="I34" i="8" s="1"/>
  <c r="L274" i="47"/>
  <c r="M274" i="47"/>
  <c r="M34" i="8"/>
  <c r="J275" i="47"/>
  <c r="K275" i="47"/>
  <c r="J276" i="47"/>
  <c r="K276" i="47"/>
  <c r="J277" i="47"/>
  <c r="K277" i="47"/>
  <c r="J278" i="47"/>
  <c r="K278" i="47"/>
  <c r="J279" i="47"/>
  <c r="K279" i="47"/>
  <c r="A280" i="47"/>
  <c r="J280" i="47"/>
  <c r="K280" i="47" s="1"/>
  <c r="J281" i="47"/>
  <c r="K281" i="47" s="1"/>
  <c r="J282" i="47"/>
  <c r="K282" i="47" s="1"/>
  <c r="J283" i="47"/>
  <c r="K283" i="47" s="1"/>
  <c r="J284" i="47"/>
  <c r="K284" i="47" s="1"/>
  <c r="C285" i="47"/>
  <c r="C35" i="8" s="1"/>
  <c r="D285" i="47"/>
  <c r="D35" i="8" s="1"/>
  <c r="E285" i="47"/>
  <c r="J285" i="47" s="1"/>
  <c r="K285" i="47" s="1"/>
  <c r="F285" i="47"/>
  <c r="G285" i="47"/>
  <c r="H285" i="47"/>
  <c r="I285" i="47"/>
  <c r="L285" i="47"/>
  <c r="L35" i="8" s="1"/>
  <c r="Q34" i="28" s="1"/>
  <c r="M285" i="47"/>
  <c r="M35" i="8"/>
  <c r="R34" i="28" s="1"/>
  <c r="J286" i="47"/>
  <c r="K286" i="47" s="1"/>
  <c r="J287" i="47"/>
  <c r="K287" i="47" s="1"/>
  <c r="J288" i="47"/>
  <c r="K288" i="47"/>
  <c r="A289" i="47"/>
  <c r="J289" i="47"/>
  <c r="K289" i="47"/>
  <c r="J290" i="47"/>
  <c r="K290" i="47"/>
  <c r="J291" i="47"/>
  <c r="K291" i="47"/>
  <c r="J292" i="47"/>
  <c r="K292" i="47"/>
  <c r="J293" i="47"/>
  <c r="K293" i="47"/>
  <c r="A294" i="47"/>
  <c r="J294" i="47"/>
  <c r="K294" i="47" s="1"/>
  <c r="J295" i="47"/>
  <c r="K295" i="47" s="1"/>
  <c r="C296" i="47"/>
  <c r="D296" i="47"/>
  <c r="E296" i="47"/>
  <c r="E36" i="8" s="1"/>
  <c r="F296" i="47"/>
  <c r="F36" i="8" s="1"/>
  <c r="G296" i="47"/>
  <c r="H296" i="47"/>
  <c r="H36" i="8"/>
  <c r="I296" i="47"/>
  <c r="I36" i="8"/>
  <c r="L296" i="47"/>
  <c r="L36" i="8"/>
  <c r="Q35" i="28" s="1"/>
  <c r="M296" i="47"/>
  <c r="M36" i="8" s="1"/>
  <c r="R35" i="28" s="1"/>
  <c r="J297" i="47"/>
  <c r="K297" i="47"/>
  <c r="J298" i="47"/>
  <c r="K298" i="47"/>
  <c r="J299" i="47"/>
  <c r="K299" i="47"/>
  <c r="A300" i="47"/>
  <c r="J300" i="47"/>
  <c r="K300" i="47" s="1"/>
  <c r="J301" i="47"/>
  <c r="K301" i="47" s="1"/>
  <c r="J302" i="47"/>
  <c r="K302" i="47" s="1"/>
  <c r="J303" i="47"/>
  <c r="K303" i="47" s="1"/>
  <c r="J304" i="47"/>
  <c r="K304" i="47" s="1"/>
  <c r="J305" i="47"/>
  <c r="K305" i="47"/>
  <c r="A306" i="47"/>
  <c r="J306" i="47"/>
  <c r="K306" i="47"/>
  <c r="C307" i="47"/>
  <c r="D307" i="47"/>
  <c r="D37" i="8" s="1"/>
  <c r="E307" i="47"/>
  <c r="E37" i="8" s="1"/>
  <c r="F307" i="47"/>
  <c r="F37" i="8" s="1"/>
  <c r="G307" i="47"/>
  <c r="G37" i="8" s="1"/>
  <c r="H307" i="47"/>
  <c r="I307" i="47"/>
  <c r="L307" i="47"/>
  <c r="L37" i="8" s="1"/>
  <c r="Q36" i="28" s="1"/>
  <c r="M307" i="47"/>
  <c r="M37" i="8"/>
  <c r="R36" i="28" s="1"/>
  <c r="J308" i="47"/>
  <c r="K308" i="47" s="1"/>
  <c r="J309" i="47"/>
  <c r="K309" i="47"/>
  <c r="J310" i="47"/>
  <c r="K310" i="47" s="1"/>
  <c r="A311" i="47"/>
  <c r="J311" i="47"/>
  <c r="K311" i="47"/>
  <c r="J312" i="47"/>
  <c r="K312" i="47"/>
  <c r="J313" i="47"/>
  <c r="K313" i="47"/>
  <c r="J314" i="47"/>
  <c r="K314" i="47"/>
  <c r="J315" i="47"/>
  <c r="K315" i="47"/>
  <c r="J316" i="47"/>
  <c r="K316" i="47"/>
  <c r="J317" i="47"/>
  <c r="K317" i="47"/>
  <c r="C318" i="47"/>
  <c r="C38" i="8"/>
  <c r="D318" i="47"/>
  <c r="E318" i="47"/>
  <c r="E38" i="8" s="1"/>
  <c r="F318" i="47"/>
  <c r="G318" i="47"/>
  <c r="G38" i="8" s="1"/>
  <c r="H318" i="47"/>
  <c r="H38" i="8" s="1"/>
  <c r="I318" i="47"/>
  <c r="I38" i="8"/>
  <c r="L318" i="47"/>
  <c r="M318" i="47"/>
  <c r="M38" i="8" s="1"/>
  <c r="R37" i="28" s="1"/>
  <c r="A319" i="47"/>
  <c r="J319" i="47"/>
  <c r="K319" i="47"/>
  <c r="J320" i="47"/>
  <c r="K320" i="47" s="1"/>
  <c r="J321" i="47"/>
  <c r="K321" i="47"/>
  <c r="J322" i="47"/>
  <c r="K322" i="47" s="1"/>
  <c r="J323" i="47"/>
  <c r="K323" i="47"/>
  <c r="J324" i="47"/>
  <c r="K324" i="47" s="1"/>
  <c r="J325" i="47"/>
  <c r="K325" i="47"/>
  <c r="J326" i="47"/>
  <c r="K326" i="47" s="1"/>
  <c r="J327" i="47"/>
  <c r="K327" i="47"/>
  <c r="J328" i="47"/>
  <c r="K328" i="47" s="1"/>
  <c r="C329" i="47"/>
  <c r="C39" i="8"/>
  <c r="D329" i="47"/>
  <c r="D39" i="8" s="1"/>
  <c r="E329" i="47"/>
  <c r="F329" i="47"/>
  <c r="G329" i="47"/>
  <c r="G39" i="8"/>
  <c r="H329" i="47"/>
  <c r="H39" i="8"/>
  <c r="I329" i="47"/>
  <c r="I39" i="8"/>
  <c r="L329" i="47"/>
  <c r="L39" i="8"/>
  <c r="Q38" i="28"/>
  <c r="M329" i="47"/>
  <c r="M39" i="8" s="1"/>
  <c r="R38" i="28" s="1"/>
  <c r="J330" i="47"/>
  <c r="K330" i="47"/>
  <c r="J331" i="47"/>
  <c r="K331" i="47"/>
  <c r="J332" i="47"/>
  <c r="K332" i="47"/>
  <c r="A333" i="47"/>
  <c r="J333" i="47"/>
  <c r="K333" i="47"/>
  <c r="J334" i="47"/>
  <c r="K334" i="47" s="1"/>
  <c r="J335" i="47"/>
  <c r="K335" i="47"/>
  <c r="J336" i="47"/>
  <c r="K336" i="47" s="1"/>
  <c r="J337" i="47"/>
  <c r="K337" i="47"/>
  <c r="J338" i="47"/>
  <c r="K338" i="47" s="1"/>
  <c r="J339" i="47"/>
  <c r="K339" i="47"/>
  <c r="A342" i="47"/>
  <c r="A343" i="47"/>
  <c r="A2" i="8"/>
  <c r="B2" i="8"/>
  <c r="C3" i="8"/>
  <c r="D3" i="8"/>
  <c r="E3" i="8"/>
  <c r="F3" i="8"/>
  <c r="G3" i="8"/>
  <c r="H3" i="8"/>
  <c r="I3" i="8"/>
  <c r="J3" i="8"/>
  <c r="K3" i="8"/>
  <c r="L3" i="8"/>
  <c r="M3" i="8"/>
  <c r="C7" i="8"/>
  <c r="F7" i="8"/>
  <c r="G7" i="8"/>
  <c r="H7" i="8"/>
  <c r="D8" i="8"/>
  <c r="E8" i="8"/>
  <c r="H8" i="8"/>
  <c r="I8" i="8"/>
  <c r="L9" i="8"/>
  <c r="Q8" i="28"/>
  <c r="D10" i="8"/>
  <c r="E10" i="8"/>
  <c r="F10" i="8"/>
  <c r="Q9" i="28"/>
  <c r="I11" i="8"/>
  <c r="C12" i="8"/>
  <c r="D12" i="8"/>
  <c r="F12" i="8"/>
  <c r="I12" i="8"/>
  <c r="C13" i="8"/>
  <c r="G13" i="8"/>
  <c r="E14" i="8"/>
  <c r="G14" i="8"/>
  <c r="H14" i="8"/>
  <c r="C15" i="8"/>
  <c r="H15" i="8"/>
  <c r="L15" i="8"/>
  <c r="Q14" i="28"/>
  <c r="E16" i="8"/>
  <c r="H16" i="8"/>
  <c r="C17" i="8"/>
  <c r="E18" i="8"/>
  <c r="H18" i="8"/>
  <c r="H19" i="8"/>
  <c r="D20" i="8"/>
  <c r="L20" i="8"/>
  <c r="Q19" i="28" s="1"/>
  <c r="C21" i="8"/>
  <c r="F21" i="8"/>
  <c r="J21" i="8" s="1"/>
  <c r="G21" i="8"/>
  <c r="I21" i="8"/>
  <c r="Q20" i="28"/>
  <c r="E25" i="8"/>
  <c r="F26" i="8"/>
  <c r="G26" i="8"/>
  <c r="C27" i="8"/>
  <c r="I27" i="8"/>
  <c r="H28" i="8"/>
  <c r="I29" i="8"/>
  <c r="M29" i="8"/>
  <c r="R28" i="28"/>
  <c r="F30" i="8"/>
  <c r="I30" i="8"/>
  <c r="F31" i="8"/>
  <c r="G32" i="8"/>
  <c r="C33" i="8"/>
  <c r="F33" i="8"/>
  <c r="D34" i="8"/>
  <c r="G34" i="8"/>
  <c r="H34" i="8"/>
  <c r="L34" i="8"/>
  <c r="Q33" i="28"/>
  <c r="R33" i="28"/>
  <c r="E35" i="8"/>
  <c r="H35" i="8"/>
  <c r="I35" i="8"/>
  <c r="C36" i="8"/>
  <c r="D36" i="8"/>
  <c r="C37" i="8"/>
  <c r="I37" i="8"/>
  <c r="D38" i="8"/>
  <c r="L38" i="8"/>
  <c r="Q37" i="28"/>
  <c r="E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c r="E8" i="46"/>
  <c r="E8" i="9"/>
  <c r="F8" i="46"/>
  <c r="F8" i="9"/>
  <c r="G8" i="46"/>
  <c r="H8" i="46"/>
  <c r="H8" i="9" s="1"/>
  <c r="I8" i="46"/>
  <c r="I8" i="9"/>
  <c r="L8" i="46"/>
  <c r="L8" i="9" s="1"/>
  <c r="Q7" i="29" s="1"/>
  <c r="M8" i="46"/>
  <c r="M8" i="9" s="1"/>
  <c r="J9" i="46"/>
  <c r="K9" i="46"/>
  <c r="C25" i="46"/>
  <c r="C10" i="9" s="1"/>
  <c r="D25" i="46"/>
  <c r="E25" i="46"/>
  <c r="E10" i="9"/>
  <c r="F25" i="46"/>
  <c r="F10" i="9"/>
  <c r="G25" i="46"/>
  <c r="G10" i="9"/>
  <c r="H25" i="46"/>
  <c r="H10" i="9"/>
  <c r="I25" i="46"/>
  <c r="I10" i="9"/>
  <c r="L25" i="46"/>
  <c r="L10" i="9"/>
  <c r="M25" i="46"/>
  <c r="C28" i="46"/>
  <c r="D28" i="46"/>
  <c r="E28" i="46"/>
  <c r="E12" i="9" s="1"/>
  <c r="F28" i="46"/>
  <c r="G28" i="46"/>
  <c r="H28" i="46"/>
  <c r="H12" i="9" s="1"/>
  <c r="I28" i="46"/>
  <c r="I12" i="9" s="1"/>
  <c r="L28" i="46"/>
  <c r="L12" i="9" s="1"/>
  <c r="Q11" i="29" s="1"/>
  <c r="M28" i="46"/>
  <c r="M12" i="9"/>
  <c r="C56" i="46"/>
  <c r="C14" i="9"/>
  <c r="D56" i="46"/>
  <c r="E56" i="46"/>
  <c r="E14" i="9" s="1"/>
  <c r="F56" i="46"/>
  <c r="F14" i="9" s="1"/>
  <c r="G56" i="46"/>
  <c r="G14" i="9" s="1"/>
  <c r="H56" i="46"/>
  <c r="H14" i="9" s="1"/>
  <c r="I56" i="46"/>
  <c r="I14" i="9" s="1"/>
  <c r="L56" i="46"/>
  <c r="L14" i="9" s="1"/>
  <c r="Q13" i="29" s="1"/>
  <c r="M56" i="46"/>
  <c r="C68" i="46"/>
  <c r="C16" i="9" s="1"/>
  <c r="D68" i="46"/>
  <c r="D16" i="9"/>
  <c r="E68" i="46"/>
  <c r="E16" i="9"/>
  <c r="F68" i="46"/>
  <c r="F16" i="9"/>
  <c r="G68" i="46"/>
  <c r="G16" i="9"/>
  <c r="H68" i="46"/>
  <c r="H16" i="9"/>
  <c r="I68" i="46"/>
  <c r="I16" i="9"/>
  <c r="L68" i="46"/>
  <c r="L16" i="9"/>
  <c r="Q15" i="29" s="1"/>
  <c r="M68" i="46"/>
  <c r="M16" i="9" s="1"/>
  <c r="R15" i="29" s="1"/>
  <c r="C77" i="46"/>
  <c r="C18" i="9"/>
  <c r="D77" i="46"/>
  <c r="D18" i="9"/>
  <c r="E77" i="46"/>
  <c r="E18" i="9"/>
  <c r="F77" i="46"/>
  <c r="F18" i="9"/>
  <c r="G77" i="46"/>
  <c r="G18" i="9"/>
  <c r="H77" i="46"/>
  <c r="H18" i="9"/>
  <c r="I77" i="46"/>
  <c r="L77" i="46"/>
  <c r="L18" i="9" s="1"/>
  <c r="M77" i="46"/>
  <c r="M18" i="9" s="1"/>
  <c r="R17" i="29" s="1"/>
  <c r="C93" i="46"/>
  <c r="C20" i="9"/>
  <c r="D93" i="46"/>
  <c r="E93" i="46"/>
  <c r="F93" i="46"/>
  <c r="F20" i="9"/>
  <c r="G93" i="46"/>
  <c r="G20" i="9"/>
  <c r="H93" i="46"/>
  <c r="H20" i="9"/>
  <c r="I93" i="46"/>
  <c r="I20" i="9"/>
  <c r="L93" i="46"/>
  <c r="L20" i="9"/>
  <c r="Q19" i="29"/>
  <c r="M93" i="46"/>
  <c r="M20" i="9" s="1"/>
  <c r="C101" i="46"/>
  <c r="C22" i="9" s="1"/>
  <c r="D101" i="46"/>
  <c r="E101" i="46"/>
  <c r="E22" i="9"/>
  <c r="F101" i="46"/>
  <c r="G101" i="46"/>
  <c r="G22" i="9"/>
  <c r="H101" i="46"/>
  <c r="H22" i="9"/>
  <c r="I101" i="46"/>
  <c r="I22" i="9"/>
  <c r="L101" i="46"/>
  <c r="L22" i="9" s="1"/>
  <c r="M101" i="46"/>
  <c r="M22" i="9" s="1"/>
  <c r="R21" i="29" s="1"/>
  <c r="C105" i="46"/>
  <c r="C23" i="9"/>
  <c r="D105" i="46"/>
  <c r="D23" i="9" s="1"/>
  <c r="E105" i="46"/>
  <c r="F105" i="46"/>
  <c r="G105" i="46"/>
  <c r="G23" i="9" s="1"/>
  <c r="H105" i="46"/>
  <c r="H23" i="9"/>
  <c r="I105" i="46"/>
  <c r="I23" i="9" s="1"/>
  <c r="L105" i="46"/>
  <c r="L23" i="9"/>
  <c r="Q22" i="29"/>
  <c r="M105" i="46"/>
  <c r="M23" i="9"/>
  <c r="R22" i="29"/>
  <c r="C109" i="46"/>
  <c r="C24" i="9" s="1"/>
  <c r="D109" i="46"/>
  <c r="D24" i="9"/>
  <c r="E109" i="46"/>
  <c r="F109" i="46"/>
  <c r="F24" i="9"/>
  <c r="G109" i="46"/>
  <c r="H109" i="46"/>
  <c r="H24" i="9" s="1"/>
  <c r="I109" i="46"/>
  <c r="I24" i="9"/>
  <c r="L109" i="46"/>
  <c r="M109" i="46"/>
  <c r="M24" i="9"/>
  <c r="R23" i="29"/>
  <c r="G25" i="9"/>
  <c r="C119" i="46"/>
  <c r="C26" i="9"/>
  <c r="D119" i="46"/>
  <c r="D26" i="9" s="1"/>
  <c r="E119" i="46"/>
  <c r="E26" i="9"/>
  <c r="F119" i="46"/>
  <c r="F26" i="9" s="1"/>
  <c r="G119" i="46"/>
  <c r="G26" i="9"/>
  <c r="H119" i="46"/>
  <c r="H26" i="9" s="1"/>
  <c r="I119" i="46"/>
  <c r="I26" i="9"/>
  <c r="L119" i="46"/>
  <c r="L26" i="9" s="1"/>
  <c r="Q25" i="29" s="1"/>
  <c r="M119" i="46"/>
  <c r="M26" i="9"/>
  <c r="R25" i="29" s="1"/>
  <c r="A126" i="46"/>
  <c r="A129" i="46"/>
  <c r="A130" i="46"/>
  <c r="C130" i="46"/>
  <c r="D130" i="46"/>
  <c r="D31" i="9"/>
  <c r="E130" i="46"/>
  <c r="F130" i="46"/>
  <c r="G130" i="46"/>
  <c r="G31" i="9"/>
  <c r="H130" i="46"/>
  <c r="H31" i="9"/>
  <c r="I130" i="46"/>
  <c r="L130" i="46"/>
  <c r="L31" i="9" s="1"/>
  <c r="Q30" i="29" s="1"/>
  <c r="M130" i="46"/>
  <c r="M31" i="9" s="1"/>
  <c r="R30" i="29" s="1"/>
  <c r="A131" i="46"/>
  <c r="A132" i="46"/>
  <c r="A147" i="46"/>
  <c r="C147" i="46"/>
  <c r="C33" i="9" s="1"/>
  <c r="D147" i="46"/>
  <c r="D33" i="9" s="1"/>
  <c r="E147" i="46"/>
  <c r="E33" i="9" s="1"/>
  <c r="F147" i="46"/>
  <c r="F33" i="9" s="1"/>
  <c r="G147" i="46"/>
  <c r="G33" i="9" s="1"/>
  <c r="H147" i="46"/>
  <c r="I147" i="46"/>
  <c r="I33" i="9"/>
  <c r="L33" i="9"/>
  <c r="Q32" i="29" s="1"/>
  <c r="M33" i="9"/>
  <c r="R32" i="29" s="1"/>
  <c r="A148" i="46"/>
  <c r="A149" i="46"/>
  <c r="A150" i="46"/>
  <c r="C150" i="46"/>
  <c r="C35" i="9" s="1"/>
  <c r="D150" i="46"/>
  <c r="E150" i="46"/>
  <c r="F150" i="46"/>
  <c r="F35" i="9"/>
  <c r="G150" i="46"/>
  <c r="H150" i="46"/>
  <c r="H35" i="9" s="1"/>
  <c r="I150" i="46"/>
  <c r="I35" i="9" s="1"/>
  <c r="L150" i="46"/>
  <c r="L35" i="9" s="1"/>
  <c r="Q34" i="29" s="1"/>
  <c r="M150" i="46"/>
  <c r="M35" i="9" s="1"/>
  <c r="R34" i="29" s="1"/>
  <c r="A151" i="46"/>
  <c r="C178" i="46"/>
  <c r="C37" i="9" s="1"/>
  <c r="D178" i="46"/>
  <c r="D37" i="9" s="1"/>
  <c r="E178" i="46"/>
  <c r="E37" i="9" s="1"/>
  <c r="F178" i="46"/>
  <c r="F37" i="9" s="1"/>
  <c r="G178" i="46"/>
  <c r="G37" i="9" s="1"/>
  <c r="H178" i="46"/>
  <c r="H37" i="9" s="1"/>
  <c r="I178" i="46"/>
  <c r="I37" i="9" s="1"/>
  <c r="L178" i="46"/>
  <c r="L37" i="9" s="1"/>
  <c r="Q36" i="29" s="1"/>
  <c r="M178" i="46"/>
  <c r="M37" i="9" s="1"/>
  <c r="R36" i="29" s="1"/>
  <c r="A187" i="46"/>
  <c r="C190" i="46"/>
  <c r="C39" i="9"/>
  <c r="D190" i="46"/>
  <c r="D39" i="9"/>
  <c r="E190" i="46"/>
  <c r="F190" i="46"/>
  <c r="F39" i="9" s="1"/>
  <c r="G190" i="46"/>
  <c r="G39" i="9" s="1"/>
  <c r="H190" i="46"/>
  <c r="H39" i="9" s="1"/>
  <c r="I190" i="46"/>
  <c r="I39" i="9" s="1"/>
  <c r="L190" i="46"/>
  <c r="L39" i="9" s="1"/>
  <c r="Q38" i="29" s="1"/>
  <c r="M190" i="46"/>
  <c r="A198" i="46"/>
  <c r="A199" i="46"/>
  <c r="C199" i="46"/>
  <c r="C41" i="9" s="1"/>
  <c r="D199" i="46"/>
  <c r="D41" i="9" s="1"/>
  <c r="E199" i="46"/>
  <c r="F199" i="46"/>
  <c r="F41" i="9"/>
  <c r="G199" i="46"/>
  <c r="G41" i="9"/>
  <c r="H199" i="46"/>
  <c r="H41" i="9"/>
  <c r="I199" i="46"/>
  <c r="I41" i="9" s="1"/>
  <c r="J41" i="9" s="1"/>
  <c r="K41" i="9" s="1"/>
  <c r="P40" i="29" s="1"/>
  <c r="N40" i="29" s="1"/>
  <c r="L199" i="46"/>
  <c r="L41" i="9" s="1"/>
  <c r="M199" i="46"/>
  <c r="M41" i="9" s="1"/>
  <c r="A210" i="46"/>
  <c r="C210" i="46"/>
  <c r="C42" i="9"/>
  <c r="D210" i="46"/>
  <c r="D42" i="9" s="1"/>
  <c r="E210" i="46"/>
  <c r="F210" i="46"/>
  <c r="F42" i="9"/>
  <c r="G210" i="46"/>
  <c r="G42" i="9"/>
  <c r="H210" i="46"/>
  <c r="H42" i="9"/>
  <c r="I210" i="46"/>
  <c r="I42" i="9"/>
  <c r="L210" i="46"/>
  <c r="M210" i="46"/>
  <c r="M42" i="9" s="1"/>
  <c r="R41" i="29" s="1"/>
  <c r="A211" i="46"/>
  <c r="A213" i="46"/>
  <c r="A214" i="46"/>
  <c r="A215" i="46"/>
  <c r="C215" i="46"/>
  <c r="C43" i="9"/>
  <c r="D215" i="46"/>
  <c r="D43" i="9"/>
  <c r="E215" i="46"/>
  <c r="E43" i="9"/>
  <c r="F215" i="46"/>
  <c r="F43" i="9"/>
  <c r="G215" i="46"/>
  <c r="H215" i="46"/>
  <c r="H43" i="9" s="1"/>
  <c r="I215" i="46"/>
  <c r="L215" i="46"/>
  <c r="L43" i="9"/>
  <c r="Q42" i="29" s="1"/>
  <c r="M215" i="46"/>
  <c r="A216" i="46"/>
  <c r="A217" i="46"/>
  <c r="A221" i="46"/>
  <c r="A222" i="46"/>
  <c r="A223" i="46"/>
  <c r="C223" i="46"/>
  <c r="C45" i="9" s="1"/>
  <c r="D223" i="46"/>
  <c r="E223" i="46"/>
  <c r="E45" i="9"/>
  <c r="F223" i="46"/>
  <c r="G223" i="46"/>
  <c r="G45" i="9" s="1"/>
  <c r="H223" i="46"/>
  <c r="H45" i="9" s="1"/>
  <c r="I223" i="46"/>
  <c r="I45" i="9" s="1"/>
  <c r="I44" i="9" s="1"/>
  <c r="L223" i="46"/>
  <c r="L45" i="9" s="1"/>
  <c r="Q44" i="29" s="1"/>
  <c r="M223" i="46"/>
  <c r="M45" i="9" s="1"/>
  <c r="R44" i="29" s="1"/>
  <c r="A224" i="46"/>
  <c r="A226" i="46"/>
  <c r="A227" i="46"/>
  <c r="C227" i="46"/>
  <c r="C46" i="9" s="1"/>
  <c r="D227" i="46"/>
  <c r="D46" i="9"/>
  <c r="E227" i="46"/>
  <c r="F227" i="46"/>
  <c r="F46" i="9" s="1"/>
  <c r="G227" i="46"/>
  <c r="H227" i="46"/>
  <c r="H46" i="9" s="1"/>
  <c r="I227" i="46"/>
  <c r="L227" i="46"/>
  <c r="L46" i="9" s="1"/>
  <c r="M227" i="46"/>
  <c r="A228" i="46"/>
  <c r="A230" i="46"/>
  <c r="A231" i="46"/>
  <c r="C231" i="46"/>
  <c r="D231" i="46"/>
  <c r="D47" i="9"/>
  <c r="E231" i="46"/>
  <c r="E47" i="9" s="1"/>
  <c r="F231" i="46"/>
  <c r="F47" i="9"/>
  <c r="G231" i="46"/>
  <c r="G47" i="9" s="1"/>
  <c r="H231" i="46"/>
  <c r="I231" i="46"/>
  <c r="I47" i="9" s="1"/>
  <c r="L231" i="46"/>
  <c r="L47" i="9" s="1"/>
  <c r="Q46" i="29" s="1"/>
  <c r="M231" i="46"/>
  <c r="M47" i="9" s="1"/>
  <c r="R46" i="29" s="1"/>
  <c r="A232" i="46"/>
  <c r="A233" i="46"/>
  <c r="A235" i="46"/>
  <c r="A236" i="46"/>
  <c r="F48" i="9"/>
  <c r="A237" i="46"/>
  <c r="C241" i="46"/>
  <c r="D241" i="46"/>
  <c r="D49" i="9" s="1"/>
  <c r="E241" i="46"/>
  <c r="F241" i="46"/>
  <c r="F49" i="9" s="1"/>
  <c r="G241" i="46"/>
  <c r="G49" i="9"/>
  <c r="H241" i="46"/>
  <c r="H49" i="9" s="1"/>
  <c r="I241" i="46"/>
  <c r="I49" i="9"/>
  <c r="L241" i="46"/>
  <c r="L49" i="9" s="1"/>
  <c r="Q48" i="29" s="1"/>
  <c r="M241" i="46"/>
  <c r="M49" i="9"/>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D38"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I14" i="7" s="1"/>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F30" i="7"/>
  <c r="G30" i="7"/>
  <c r="L30" i="7"/>
  <c r="B32" i="7"/>
  <c r="C32" i="7"/>
  <c r="D32" i="7"/>
  <c r="E32" i="7"/>
  <c r="F32" i="7"/>
  <c r="G32" i="7"/>
  <c r="H32" i="7"/>
  <c r="K32" i="7"/>
  <c r="L32" i="7"/>
  <c r="B33" i="7"/>
  <c r="C33" i="7"/>
  <c r="D33" i="7"/>
  <c r="E33" i="7"/>
  <c r="F33" i="7"/>
  <c r="G33" i="7"/>
  <c r="H33" i="7"/>
  <c r="K33" i="7"/>
  <c r="L33" i="7"/>
  <c r="C44" i="7"/>
  <c r="D44" i="7"/>
  <c r="I44" i="7" s="1"/>
  <c r="E44" i="7"/>
  <c r="F44" i="7"/>
  <c r="H44" i="7"/>
  <c r="K44" i="7"/>
  <c r="B45" i="7"/>
  <c r="C45" i="7"/>
  <c r="E45" i="7"/>
  <c r="F45" i="7"/>
  <c r="G45" i="7"/>
  <c r="H45" i="7"/>
  <c r="K45" i="7"/>
  <c r="L45" i="7"/>
  <c r="C46" i="7"/>
  <c r="D46" i="7"/>
  <c r="E46" i="7"/>
  <c r="F46" i="7"/>
  <c r="G46" i="7"/>
  <c r="H46" i="7"/>
  <c r="I46" i="7" s="1"/>
  <c r="K46" i="7"/>
  <c r="F47" i="7"/>
  <c r="F51" i="7"/>
  <c r="G51" i="7"/>
  <c r="C64" i="7"/>
  <c r="D64" i="7"/>
  <c r="I64" i="7" s="1"/>
  <c r="E64" i="7"/>
  <c r="G64" i="7"/>
  <c r="H64" i="7"/>
  <c r="K64" i="7"/>
  <c r="L64" i="7"/>
  <c r="C65" i="7"/>
  <c r="E65" i="7"/>
  <c r="F65" i="7"/>
  <c r="G65" i="7"/>
  <c r="H65" i="7"/>
  <c r="B66" i="7"/>
  <c r="C66" i="7"/>
  <c r="J66" i="7" s="1"/>
  <c r="D66" i="7"/>
  <c r="E66" i="7"/>
  <c r="F66" i="7"/>
  <c r="I66" i="7"/>
  <c r="G66" i="7"/>
  <c r="H66" i="7"/>
  <c r="K66" i="7"/>
  <c r="L66" i="7"/>
  <c r="B67" i="7"/>
  <c r="C67" i="7"/>
  <c r="D67" i="7"/>
  <c r="I67" i="7" s="1"/>
  <c r="E67" i="7"/>
  <c r="F67" i="7"/>
  <c r="G67" i="7"/>
  <c r="H67" i="7"/>
  <c r="K67" i="7"/>
  <c r="L67" i="7"/>
  <c r="A2" i="51"/>
  <c r="A7" i="47" s="1"/>
  <c r="A7" i="8" s="1"/>
  <c r="A6" i="28" s="1"/>
  <c r="A3" i="51"/>
  <c r="A19" i="48" s="1"/>
  <c r="D3" i="51"/>
  <c r="A4" i="51"/>
  <c r="D4" i="51"/>
  <c r="A5" i="51"/>
  <c r="A40" i="47" s="1"/>
  <c r="D5" i="51"/>
  <c r="A6" i="51"/>
  <c r="A52" i="48" s="1"/>
  <c r="A221" i="48" s="1"/>
  <c r="A30" i="11" s="1"/>
  <c r="D6" i="51"/>
  <c r="A7" i="51"/>
  <c r="A63" i="48" s="1"/>
  <c r="A13" i="11" s="1"/>
  <c r="A11" i="32" s="1"/>
  <c r="A29" i="32" s="1"/>
  <c r="D7" i="51"/>
  <c r="A8" i="51"/>
  <c r="A73" i="47"/>
  <c r="D8" i="51"/>
  <c r="A9" i="51"/>
  <c r="A85" i="48" s="1"/>
  <c r="A254" i="48" s="1"/>
  <c r="A33" i="11" s="1"/>
  <c r="D9" i="51"/>
  <c r="A10" i="51"/>
  <c r="D10" i="51"/>
  <c r="A11" i="51"/>
  <c r="A107" i="48" s="1"/>
  <c r="D11" i="51"/>
  <c r="A12" i="51"/>
  <c r="A118" i="48" s="1"/>
  <c r="D12" i="51"/>
  <c r="A13" i="51"/>
  <c r="A129" i="48" s="1"/>
  <c r="A128" i="47"/>
  <c r="A14" i="51"/>
  <c r="A139" i="47" s="1"/>
  <c r="D14" i="51"/>
  <c r="A15" i="51"/>
  <c r="A150" i="47" s="1"/>
  <c r="A151" i="48"/>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98" i="39" s="1"/>
  <c r="B73" i="39"/>
  <c r="F67" i="39"/>
  <c r="E67" i="39"/>
  <c r="F68" i="39"/>
  <c r="E69" i="39"/>
  <c r="F70" i="39"/>
  <c r="E70" i="39"/>
  <c r="F71" i="39"/>
  <c r="E71" i="39" s="1"/>
  <c r="F72" i="39"/>
  <c r="B72" i="39"/>
  <c r="E72" i="39"/>
  <c r="F73" i="39"/>
  <c r="E73" i="39"/>
  <c r="F74" i="39"/>
  <c r="E74" i="39"/>
  <c r="F75" i="39"/>
  <c r="E75" i="39"/>
  <c r="F76" i="39"/>
  <c r="E76" i="39"/>
  <c r="D77" i="39"/>
  <c r="F77" i="39"/>
  <c r="E77" i="39"/>
  <c r="D78" i="39"/>
  <c r="B78" i="39" s="1"/>
  <c r="F78" i="39"/>
  <c r="E78" i="39" s="1"/>
  <c r="D79" i="39"/>
  <c r="B79" i="39" s="1"/>
  <c r="F79" i="39"/>
  <c r="D80" i="39"/>
  <c r="B80" i="39"/>
  <c r="F80" i="39"/>
  <c r="E80" i="39"/>
  <c r="D81" i="39"/>
  <c r="F81" i="39"/>
  <c r="E81" i="39" s="1"/>
  <c r="D82" i="39"/>
  <c r="F82" i="39"/>
  <c r="E82" i="39"/>
  <c r="D83" i="39"/>
  <c r="F83" i="39"/>
  <c r="E83" i="39" s="1"/>
  <c r="D84" i="39"/>
  <c r="B84" i="39" s="1"/>
  <c r="F84" i="39"/>
  <c r="E84" i="39" s="1"/>
  <c r="D85" i="39"/>
  <c r="F85" i="39"/>
  <c r="D86" i="39"/>
  <c r="F86" i="39"/>
  <c r="E86" i="39"/>
  <c r="D87" i="39"/>
  <c r="F87" i="39"/>
  <c r="E87" i="39" s="1"/>
  <c r="D88" i="39"/>
  <c r="B88" i="39" s="1"/>
  <c r="F88" i="39"/>
  <c r="E88" i="39" s="1"/>
  <c r="D89" i="39"/>
  <c r="B89" i="39" s="1"/>
  <c r="E89" i="39"/>
  <c r="D90" i="39"/>
  <c r="F90" i="39"/>
  <c r="E90" i="39" s="1"/>
  <c r="D91" i="39"/>
  <c r="F91" i="39"/>
  <c r="E91" i="39"/>
  <c r="D92" i="39"/>
  <c r="F92" i="39"/>
  <c r="E92" i="39" s="1"/>
  <c r="D93" i="39"/>
  <c r="B93" i="39" s="1"/>
  <c r="E93" i="39"/>
  <c r="D94" i="39"/>
  <c r="F94" i="39"/>
  <c r="E94" i="39" s="1"/>
  <c r="D95" i="39"/>
  <c r="B95" i="39" s="1"/>
  <c r="F95" i="39"/>
  <c r="E95" i="39" s="1"/>
  <c r="D96" i="39"/>
  <c r="F96" i="39"/>
  <c r="E96" i="39"/>
  <c r="D97" i="39"/>
  <c r="F97" i="39"/>
  <c r="B97" i="39" s="1"/>
  <c r="E97" i="39"/>
  <c r="D99" i="39"/>
  <c r="F99" i="39"/>
  <c r="E99" i="39" s="1"/>
  <c r="D100" i="39"/>
  <c r="B100" i="39" s="1"/>
  <c r="E100" i="39"/>
  <c r="X36" i="45"/>
  <c r="J89" i="17"/>
  <c r="J50" i="17"/>
  <c r="K72" i="17"/>
  <c r="K92" i="17"/>
  <c r="K94" i="17"/>
  <c r="K38" i="17"/>
  <c r="J84" i="17"/>
  <c r="H15" i="7"/>
  <c r="K87" i="17"/>
  <c r="K89" i="17" s="1"/>
  <c r="F13" i="7"/>
  <c r="K54" i="17"/>
  <c r="K120" i="17"/>
  <c r="F15" i="7"/>
  <c r="D38" i="7"/>
  <c r="H14" i="12"/>
  <c r="G37" i="7" s="1"/>
  <c r="H41" i="12"/>
  <c r="G40" i="7" s="1"/>
  <c r="E36" i="12"/>
  <c r="D41" i="12"/>
  <c r="C40" i="7"/>
  <c r="J40" i="12"/>
  <c r="E41" i="12"/>
  <c r="I11" i="20"/>
  <c r="H36" i="12"/>
  <c r="G39" i="7" s="1"/>
  <c r="D36" i="12"/>
  <c r="K38" i="7"/>
  <c r="G8" i="14"/>
  <c r="G10" i="14" s="1"/>
  <c r="F11" i="20"/>
  <c r="D39" i="7"/>
  <c r="J14" i="27"/>
  <c r="L54" i="27"/>
  <c r="L34" i="27"/>
  <c r="K30" i="27"/>
  <c r="L30" i="27" s="1"/>
  <c r="J65" i="27"/>
  <c r="J99" i="27" s="1"/>
  <c r="J30" i="27"/>
  <c r="K46" i="11"/>
  <c r="O7" i="33" s="1"/>
  <c r="N7" i="33" s="1"/>
  <c r="A117" i="47"/>
  <c r="A17" i="8" s="1"/>
  <c r="A16" i="28" s="1"/>
  <c r="D40" i="11"/>
  <c r="C21" i="11"/>
  <c r="A49" i="25"/>
  <c r="E99" i="27"/>
  <c r="E101" i="27" s="1"/>
  <c r="H35" i="11"/>
  <c r="M33" i="11"/>
  <c r="D33" i="11"/>
  <c r="G11" i="11"/>
  <c r="E11" i="8"/>
  <c r="J11" i="8" s="1"/>
  <c r="D37" i="11"/>
  <c r="D36" i="11"/>
  <c r="K36" i="11" s="1"/>
  <c r="P34" i="32"/>
  <c r="N34" i="32" s="1"/>
  <c r="D26" i="11"/>
  <c r="D16" i="11"/>
  <c r="J33" i="16"/>
  <c r="E38" i="16"/>
  <c r="I19" i="23"/>
  <c r="I17" i="23"/>
  <c r="H17" i="23"/>
  <c r="I13" i="25"/>
  <c r="I15" i="25" s="1"/>
  <c r="H15" i="25"/>
  <c r="E20" i="14"/>
  <c r="D51" i="7"/>
  <c r="A96" i="48"/>
  <c r="A95" i="47"/>
  <c r="D27" i="8"/>
  <c r="G21" i="11"/>
  <c r="G23" i="11"/>
  <c r="E20" i="11"/>
  <c r="J20" i="11" s="1"/>
  <c r="K20" i="11" s="1"/>
  <c r="P18" i="32" s="1"/>
  <c r="N18" i="32" s="1"/>
  <c r="J140" i="48"/>
  <c r="K140" i="48"/>
  <c r="D26" i="8"/>
  <c r="J55" i="11"/>
  <c r="K58" i="11"/>
  <c r="O19" i="33"/>
  <c r="N19" i="33"/>
  <c r="J21" i="12"/>
  <c r="K21" i="12" s="1"/>
  <c r="K26" i="12" s="1"/>
  <c r="I48" i="12"/>
  <c r="K27" i="16"/>
  <c r="K28" i="16"/>
  <c r="J28" i="16"/>
  <c r="O17" i="33"/>
  <c r="N17" i="33" s="1"/>
  <c r="A140" i="48"/>
  <c r="A20" i="11"/>
  <c r="A18" i="32"/>
  <c r="A36" i="32" s="1"/>
  <c r="J117" i="47"/>
  <c r="K117" i="47"/>
  <c r="E17" i="8"/>
  <c r="J62" i="47"/>
  <c r="K62" i="47" s="1"/>
  <c r="G12" i="8"/>
  <c r="E65" i="11"/>
  <c r="G32" i="11"/>
  <c r="J232" i="48"/>
  <c r="K232" i="48"/>
  <c r="E22" i="11"/>
  <c r="J8" i="48"/>
  <c r="K8" i="48"/>
  <c r="H8" i="11"/>
  <c r="J8" i="11" s="1"/>
  <c r="J9" i="12"/>
  <c r="K9" i="12"/>
  <c r="E9" i="8"/>
  <c r="C30" i="11"/>
  <c r="L26" i="11"/>
  <c r="H40" i="13"/>
  <c r="H42" i="13"/>
  <c r="G44" i="7"/>
  <c r="E48" i="23"/>
  <c r="J59" i="11"/>
  <c r="F35" i="8"/>
  <c r="E19" i="8"/>
  <c r="J19" i="8" s="1"/>
  <c r="K19" i="8" s="1"/>
  <c r="J128" i="47"/>
  <c r="G8" i="8"/>
  <c r="J18" i="47"/>
  <c r="K18" i="47" s="1"/>
  <c r="G172" i="47"/>
  <c r="J7" i="47"/>
  <c r="K7" i="47"/>
  <c r="E7" i="8"/>
  <c r="J7" i="8"/>
  <c r="K7" i="8" s="1"/>
  <c r="P6" i="28"/>
  <c r="G9" i="11"/>
  <c r="G173" i="48"/>
  <c r="D38" i="11"/>
  <c r="J287" i="48"/>
  <c r="K287" i="48"/>
  <c r="F36" i="11"/>
  <c r="J30" i="48"/>
  <c r="K30" i="48" s="1"/>
  <c r="E10" i="11"/>
  <c r="F9" i="11"/>
  <c r="K34" i="16"/>
  <c r="K37" i="16" s="1"/>
  <c r="D38" i="16"/>
  <c r="K48" i="23"/>
  <c r="K49" i="23" s="1"/>
  <c r="E34" i="8"/>
  <c r="J34" i="8" s="1"/>
  <c r="H172" i="47"/>
  <c r="K80" i="16"/>
  <c r="G17" i="16"/>
  <c r="K32" i="18"/>
  <c r="K39" i="14" s="1"/>
  <c r="J36" i="18"/>
  <c r="E28" i="8"/>
  <c r="F340" i="47"/>
  <c r="F342" i="47" s="1"/>
  <c r="J175" i="47"/>
  <c r="J331" i="48"/>
  <c r="H38" i="11"/>
  <c r="J38" i="11"/>
  <c r="K38" i="11" s="1"/>
  <c r="P36" i="32" s="1"/>
  <c r="N36" i="32" s="1"/>
  <c r="J309" i="48"/>
  <c r="K309" i="48"/>
  <c r="D32" i="11"/>
  <c r="J63" i="48"/>
  <c r="K63" i="48" s="1"/>
  <c r="E13" i="11"/>
  <c r="J13" i="11" s="1"/>
  <c r="K13" i="11"/>
  <c r="P11" i="32" s="1"/>
  <c r="N11" i="32" s="1"/>
  <c r="L46" i="7"/>
  <c r="K44" i="18"/>
  <c r="K46" i="18"/>
  <c r="J46" i="18"/>
  <c r="J10" i="18"/>
  <c r="K8" i="18"/>
  <c r="K10" i="18"/>
  <c r="A84" i="47"/>
  <c r="A252" i="47"/>
  <c r="A32" i="8" s="1"/>
  <c r="A31" i="28" s="1"/>
  <c r="A14" i="8"/>
  <c r="A13" i="28"/>
  <c r="F27" i="11"/>
  <c r="E18" i="11"/>
  <c r="J18" i="11" s="1"/>
  <c r="K18" i="11" s="1"/>
  <c r="P16" i="32" s="1"/>
  <c r="N16" i="32" s="1"/>
  <c r="J118" i="48"/>
  <c r="K118" i="48"/>
  <c r="J161" i="47"/>
  <c r="J96" i="48"/>
  <c r="K96" i="48" s="1"/>
  <c r="I38" i="25"/>
  <c r="I39" i="25" s="1"/>
  <c r="H39" i="25"/>
  <c r="J73" i="47"/>
  <c r="Q6" i="33"/>
  <c r="Q26" i="33" s="1"/>
  <c r="I10" i="11"/>
  <c r="E173" i="48"/>
  <c r="A62" i="47"/>
  <c r="A230" i="47" s="1"/>
  <c r="A30" i="8" s="1"/>
  <c r="A29" i="28" s="1"/>
  <c r="J36" i="11"/>
  <c r="F28" i="11"/>
  <c r="H342" i="48"/>
  <c r="H26" i="11"/>
  <c r="J129" i="48"/>
  <c r="K129" i="48"/>
  <c r="C173" i="48"/>
  <c r="M8" i="11"/>
  <c r="M23" i="11" s="1"/>
  <c r="M173" i="48"/>
  <c r="D8" i="11"/>
  <c r="K8" i="11" s="1"/>
  <c r="P6" i="32" s="1"/>
  <c r="D19" i="14"/>
  <c r="K40" i="16"/>
  <c r="H44" i="25"/>
  <c r="I42" i="25"/>
  <c r="I44" i="25"/>
  <c r="J40" i="47"/>
  <c r="K40" i="47" s="1"/>
  <c r="J31" i="11"/>
  <c r="K31" i="11"/>
  <c r="P29" i="32" s="1"/>
  <c r="N29" i="32" s="1"/>
  <c r="R24" i="32"/>
  <c r="J107" i="48"/>
  <c r="K107" i="48"/>
  <c r="F15" i="11"/>
  <c r="J38" i="13"/>
  <c r="G29" i="16"/>
  <c r="J24" i="16"/>
  <c r="F36" i="12"/>
  <c r="K86" i="27"/>
  <c r="L86" i="27" s="1"/>
  <c r="K78" i="27"/>
  <c r="L78" i="27" s="1"/>
  <c r="J81" i="27"/>
  <c r="K23" i="13"/>
  <c r="K29" i="13" s="1"/>
  <c r="J29" i="13"/>
  <c r="K13" i="17"/>
  <c r="I33" i="24"/>
  <c r="J28" i="26"/>
  <c r="K25" i="26"/>
  <c r="K28" i="26" s="1"/>
  <c r="J10" i="26"/>
  <c r="J30" i="26" s="1"/>
  <c r="J57" i="26" s="1"/>
  <c r="K8" i="26"/>
  <c r="K10" i="26"/>
  <c r="M63" i="31"/>
  <c r="M52" i="31"/>
  <c r="D40" i="13"/>
  <c r="D42" i="13" s="1"/>
  <c r="G23" i="20" s="1"/>
  <c r="E48" i="27"/>
  <c r="E103" i="27"/>
  <c r="L65" i="11"/>
  <c r="I9" i="20" s="1"/>
  <c r="J13" i="22" s="1"/>
  <c r="L23" i="11"/>
  <c r="G11" i="20"/>
  <c r="K13" i="16"/>
  <c r="K16" i="16"/>
  <c r="D14" i="18"/>
  <c r="D10" i="12"/>
  <c r="I32" i="25"/>
  <c r="I34" i="25" s="1"/>
  <c r="H34" i="25"/>
  <c r="J56" i="26"/>
  <c r="J47" i="16"/>
  <c r="J48" i="16" s="1"/>
  <c r="K43" i="16"/>
  <c r="J12" i="16"/>
  <c r="K12" i="16" s="1"/>
  <c r="J17" i="16"/>
  <c r="J55" i="18"/>
  <c r="J63" i="18" s="1"/>
  <c r="I17" i="24"/>
  <c r="F29" i="24"/>
  <c r="G30" i="26"/>
  <c r="G57" i="26"/>
  <c r="K23" i="18"/>
  <c r="K12" i="18"/>
  <c r="I52" i="25"/>
  <c r="I21" i="25"/>
  <c r="H20" i="25"/>
  <c r="F29" i="16"/>
  <c r="H63" i="18"/>
  <c r="I27" i="23"/>
  <c r="I26" i="23" s="1"/>
  <c r="H26" i="23"/>
  <c r="F48" i="24"/>
  <c r="F50" i="24"/>
  <c r="G48" i="24"/>
  <c r="A25" i="25"/>
  <c r="K48" i="26"/>
  <c r="C48" i="16"/>
  <c r="K62" i="18"/>
  <c r="J22" i="26"/>
  <c r="K19" i="26"/>
  <c r="K22" i="26"/>
  <c r="G48" i="27"/>
  <c r="G101" i="27"/>
  <c r="G103" i="27"/>
  <c r="G48" i="23"/>
  <c r="I23" i="23"/>
  <c r="I47" i="25"/>
  <c r="I49" i="25" s="1"/>
  <c r="H49" i="25"/>
  <c r="F51" i="25"/>
  <c r="J36" i="26"/>
  <c r="K56" i="26"/>
  <c r="J16" i="26"/>
  <c r="C103" i="27"/>
  <c r="C29" i="24"/>
  <c r="I42" i="23"/>
  <c r="H28" i="25"/>
  <c r="I9" i="25"/>
  <c r="I10" i="25" s="1"/>
  <c r="H10" i="25"/>
  <c r="J42" i="26"/>
  <c r="J62" i="18"/>
  <c r="H42" i="24"/>
  <c r="I43" i="24"/>
  <c r="I42" i="24"/>
  <c r="K29" i="24"/>
  <c r="K50" i="24"/>
  <c r="O6" i="31"/>
  <c r="J165" i="17"/>
  <c r="K162" i="17"/>
  <c r="H32" i="23"/>
  <c r="H52" i="25"/>
  <c r="A50" i="25"/>
  <c r="J48" i="24"/>
  <c r="J50" i="24" s="1"/>
  <c r="E51" i="25"/>
  <c r="E54" i="25" s="1"/>
  <c r="J55" i="25"/>
  <c r="K54" i="26"/>
  <c r="C26" i="29"/>
  <c r="G26" i="33"/>
  <c r="G99" i="27"/>
  <c r="L199" i="21"/>
  <c r="G76" i="21"/>
  <c r="K180" i="21"/>
  <c r="O40" i="32"/>
  <c r="F40" i="32"/>
  <c r="K88" i="21"/>
  <c r="G235" i="21"/>
  <c r="J43" i="36"/>
  <c r="J30" i="36"/>
  <c r="L226" i="21"/>
  <c r="J76" i="21"/>
  <c r="L88" i="21"/>
  <c r="F134" i="21"/>
  <c r="J143" i="21"/>
  <c r="L153" i="21"/>
  <c r="F189" i="21"/>
  <c r="F226" i="21"/>
  <c r="E245" i="21"/>
  <c r="F122" i="21"/>
  <c r="M122" i="21"/>
  <c r="I134" i="21"/>
  <c r="L168" i="21"/>
  <c r="H180" i="21"/>
  <c r="I226" i="21"/>
  <c r="H88" i="21"/>
  <c r="J134" i="21"/>
  <c r="M143" i="21"/>
  <c r="H153" i="21"/>
  <c r="M168" i="21"/>
  <c r="K199" i="21"/>
  <c r="L235" i="21"/>
  <c r="H245" i="21"/>
  <c r="E39" i="7"/>
  <c r="A309" i="48"/>
  <c r="A38" i="11" s="1"/>
  <c r="Q24" i="32"/>
  <c r="L87" i="27"/>
  <c r="G31" i="8"/>
  <c r="J34" i="12"/>
  <c r="I36" i="12"/>
  <c r="K45" i="27"/>
  <c r="L45" i="27" s="1"/>
  <c r="J46" i="27"/>
  <c r="J48" i="27" s="1"/>
  <c r="J101" i="27" s="1"/>
  <c r="K154" i="17"/>
  <c r="J97" i="27"/>
  <c r="J51" i="47"/>
  <c r="K51" i="47" s="1"/>
  <c r="H37" i="8"/>
  <c r="J307" i="47"/>
  <c r="K307" i="47"/>
  <c r="F9" i="8"/>
  <c r="J29" i="47"/>
  <c r="K29" i="47"/>
  <c r="F172" i="47"/>
  <c r="I15" i="8"/>
  <c r="E33" i="8"/>
  <c r="J263" i="47"/>
  <c r="K263" i="47" s="1"/>
  <c r="L70" i="27"/>
  <c r="O21" i="33"/>
  <c r="N21" i="33" s="1"/>
  <c r="I23" i="7"/>
  <c r="J18" i="8"/>
  <c r="D31" i="8"/>
  <c r="K63" i="17"/>
  <c r="J139" i="47"/>
  <c r="K139" i="47"/>
  <c r="G19" i="8"/>
  <c r="P18" i="28"/>
  <c r="N18" i="28" s="1"/>
  <c r="K68" i="11"/>
  <c r="M8" i="8"/>
  <c r="A24" i="25"/>
  <c r="A19" i="25"/>
  <c r="A162" i="48"/>
  <c r="A161" i="47"/>
  <c r="L39" i="27"/>
  <c r="A285" i="47"/>
  <c r="A35" i="8" s="1"/>
  <c r="A34" i="28"/>
  <c r="G28" i="8"/>
  <c r="I9" i="11"/>
  <c r="J9" i="11"/>
  <c r="J19" i="48"/>
  <c r="K19" i="48" s="1"/>
  <c r="H39" i="23"/>
  <c r="I41" i="23"/>
  <c r="F14" i="11"/>
  <c r="F173" i="48"/>
  <c r="J74" i="48"/>
  <c r="K74" i="48"/>
  <c r="D21" i="8"/>
  <c r="K161" i="47"/>
  <c r="K121" i="17"/>
  <c r="E17" i="7"/>
  <c r="J243" i="48"/>
  <c r="K243" i="48"/>
  <c r="E20" i="8"/>
  <c r="J20" i="8"/>
  <c r="K20" i="8" s="1"/>
  <c r="P19" i="28"/>
  <c r="N19" i="28" s="1"/>
  <c r="J150" i="47"/>
  <c r="K150" i="47" s="1"/>
  <c r="D18" i="8"/>
  <c r="K18" i="8" s="1"/>
  <c r="P17" i="28" s="1"/>
  <c r="N17" i="28" s="1"/>
  <c r="K128" i="47"/>
  <c r="C16" i="8"/>
  <c r="J95" i="47"/>
  <c r="K95" i="47" s="1"/>
  <c r="E15" i="8"/>
  <c r="E172" i="47"/>
  <c r="E26" i="8"/>
  <c r="J186" i="47"/>
  <c r="K186" i="47" s="1"/>
  <c r="E340" i="47"/>
  <c r="R26" i="32"/>
  <c r="D42" i="12"/>
  <c r="J19" i="11"/>
  <c r="K19" i="11" s="1"/>
  <c r="P17" i="32" s="1"/>
  <c r="N17" i="32" s="1"/>
  <c r="J17" i="8"/>
  <c r="A232" i="48"/>
  <c r="A31" i="11" s="1"/>
  <c r="D14" i="8"/>
  <c r="D172" i="47"/>
  <c r="L15" i="7"/>
  <c r="F35" i="11"/>
  <c r="J35" i="11"/>
  <c r="P33" i="32"/>
  <c r="N33" i="32" s="1"/>
  <c r="J276" i="48"/>
  <c r="K276" i="48"/>
  <c r="C32" i="11"/>
  <c r="E11" i="11"/>
  <c r="J11" i="11" s="1"/>
  <c r="K11" i="11" s="1"/>
  <c r="P9" i="32" s="1"/>
  <c r="N9" i="32"/>
  <c r="J41" i="48"/>
  <c r="K41" i="48"/>
  <c r="A51" i="47"/>
  <c r="A11" i="8"/>
  <c r="A10" i="28" s="1"/>
  <c r="J274" i="47"/>
  <c r="K274" i="47"/>
  <c r="F29" i="11"/>
  <c r="J210" i="48"/>
  <c r="K210" i="48" s="1"/>
  <c r="F342" i="48"/>
  <c r="F343" i="48" s="1"/>
  <c r="H21" i="11"/>
  <c r="H173" i="48"/>
  <c r="H343" i="48"/>
  <c r="G35" i="8"/>
  <c r="J35" i="8"/>
  <c r="E29" i="8"/>
  <c r="J29" i="8"/>
  <c r="K29" i="8"/>
  <c r="P28" i="28" s="1"/>
  <c r="N28" i="28" s="1"/>
  <c r="O28" i="28" s="1"/>
  <c r="J219" i="47"/>
  <c r="K219" i="47"/>
  <c r="I25" i="8"/>
  <c r="B30" i="7"/>
  <c r="B34" i="7" s="1"/>
  <c r="J298" i="48"/>
  <c r="K298" i="48"/>
  <c r="J37" i="11"/>
  <c r="K37" i="11"/>
  <c r="P35" i="32"/>
  <c r="N35" i="32"/>
  <c r="D342" i="48"/>
  <c r="D28" i="11"/>
  <c r="D49" i="23"/>
  <c r="G51" i="25"/>
  <c r="G54" i="25" s="1"/>
  <c r="E31" i="9"/>
  <c r="E26" i="11"/>
  <c r="E41" i="11"/>
  <c r="E342" i="48"/>
  <c r="E343" i="48"/>
  <c r="I48" i="16"/>
  <c r="E63" i="18"/>
  <c r="E47" i="12"/>
  <c r="E50" i="12" s="1"/>
  <c r="D41" i="7"/>
  <c r="H26" i="8"/>
  <c r="J13" i="8"/>
  <c r="A21" i="25"/>
  <c r="A26" i="25"/>
  <c r="D65" i="11"/>
  <c r="G9" i="20"/>
  <c r="H13" i="22" s="1"/>
  <c r="J265" i="48"/>
  <c r="K265" i="48" s="1"/>
  <c r="J52" i="48"/>
  <c r="K52" i="48"/>
  <c r="C34" i="11"/>
  <c r="C41" i="11" s="1"/>
  <c r="C42" i="11" s="1"/>
  <c r="B29" i="7" s="1"/>
  <c r="F33" i="11"/>
  <c r="K28" i="18"/>
  <c r="K30" i="18"/>
  <c r="J30" i="18"/>
  <c r="I32" i="23"/>
  <c r="I48" i="23" s="1"/>
  <c r="E30" i="26"/>
  <c r="E57" i="26"/>
  <c r="H9" i="23"/>
  <c r="I11" i="23"/>
  <c r="I9" i="23"/>
  <c r="I29" i="23" s="1"/>
  <c r="E29" i="23"/>
  <c r="E49" i="23"/>
  <c r="J41" i="16"/>
  <c r="F48" i="16"/>
  <c r="M17" i="16"/>
  <c r="D63" i="18"/>
  <c r="F57" i="26"/>
  <c r="H99" i="27"/>
  <c r="J19" i="13"/>
  <c r="J40" i="13" s="1"/>
  <c r="J42" i="13" s="1"/>
  <c r="C57" i="14"/>
  <c r="C19" i="14"/>
  <c r="H57" i="26"/>
  <c r="E17" i="16"/>
  <c r="I24" i="24"/>
  <c r="I23" i="24"/>
  <c r="H23" i="24"/>
  <c r="H52" i="31"/>
  <c r="F26" i="29"/>
  <c r="G143" i="21"/>
  <c r="E48" i="24"/>
  <c r="E50" i="24"/>
  <c r="H9" i="24"/>
  <c r="I11" i="24"/>
  <c r="I9" i="24" s="1"/>
  <c r="I29" i="24" s="1"/>
  <c r="I57" i="26"/>
  <c r="D48" i="27"/>
  <c r="J48" i="23"/>
  <c r="F76" i="21"/>
  <c r="H39" i="24"/>
  <c r="F27" i="25"/>
  <c r="F54" i="25" s="1"/>
  <c r="D99" i="27"/>
  <c r="D101" i="27"/>
  <c r="K38" i="18"/>
  <c r="K40" i="18" s="1"/>
  <c r="H25" i="25"/>
  <c r="K36" i="26"/>
  <c r="D103" i="27"/>
  <c r="K43" i="36"/>
  <c r="H23" i="23"/>
  <c r="K29" i="23"/>
  <c r="H17" i="24"/>
  <c r="K52" i="31"/>
  <c r="J26" i="33"/>
  <c r="C29" i="23"/>
  <c r="G40" i="32"/>
  <c r="H214" i="21"/>
  <c r="H235" i="21"/>
  <c r="J88" i="21"/>
  <c r="F97" i="21"/>
  <c r="M134" i="21"/>
  <c r="E199" i="21"/>
  <c r="F26" i="33"/>
  <c r="J77" i="17"/>
  <c r="H107" i="21"/>
  <c r="I180" i="21"/>
  <c r="E189" i="21"/>
  <c r="K153" i="21"/>
  <c r="K214" i="21"/>
  <c r="K71" i="17"/>
  <c r="K77" i="17"/>
  <c r="H39" i="7"/>
  <c r="R7" i="28"/>
  <c r="J15" i="8"/>
  <c r="K15" i="8"/>
  <c r="P14" i="28"/>
  <c r="N14" i="28" s="1"/>
  <c r="O14" i="28" s="1"/>
  <c r="J25" i="8"/>
  <c r="F22" i="8"/>
  <c r="H12" i="22"/>
  <c r="A329" i="47"/>
  <c r="A39" i="8"/>
  <c r="A38" i="28"/>
  <c r="A21" i="8"/>
  <c r="A20" i="28"/>
  <c r="E35" i="9"/>
  <c r="L24" i="9"/>
  <c r="F22" i="9"/>
  <c r="L42" i="9"/>
  <c r="Q41" i="29" s="1"/>
  <c r="D12" i="9"/>
  <c r="L9" i="9"/>
  <c r="L7" i="9" s="1"/>
  <c r="Q6" i="29" s="1"/>
  <c r="Q8" i="29"/>
  <c r="R11" i="29"/>
  <c r="I52" i="31"/>
  <c r="I54" i="31" s="1"/>
  <c r="I64" i="31" s="1"/>
  <c r="P19" i="30"/>
  <c r="N19" i="30" s="1"/>
  <c r="O19" i="30" s="1"/>
  <c r="I18" i="7"/>
  <c r="I22" i="7"/>
  <c r="I10" i="7"/>
  <c r="J10" i="7"/>
  <c r="J23" i="7"/>
  <c r="I16" i="7"/>
  <c r="J16" i="7"/>
  <c r="I9" i="7"/>
  <c r="M76" i="34"/>
  <c r="B76" i="39"/>
  <c r="B87" i="39"/>
  <c r="B82" i="39"/>
  <c r="B83" i="39"/>
  <c r="B75" i="39"/>
  <c r="B77" i="39"/>
  <c r="B71" i="39"/>
  <c r="B70" i="39"/>
  <c r="B74" i="39"/>
  <c r="B67" i="39"/>
  <c r="B81" i="39"/>
  <c r="B92" i="39"/>
  <c r="A1" i="32" s="1"/>
  <c r="B96" i="39"/>
  <c r="B86" i="39"/>
  <c r="B91" i="39"/>
  <c r="B94" i="39"/>
  <c r="B69" i="39"/>
  <c r="B99" i="39"/>
  <c r="E76" i="52"/>
  <c r="I76" i="52"/>
  <c r="D76" i="52"/>
  <c r="H76" i="52"/>
  <c r="F76" i="52"/>
  <c r="G76" i="52"/>
  <c r="I76" i="1"/>
  <c r="F76" i="1"/>
  <c r="L76" i="1"/>
  <c r="G76" i="1"/>
  <c r="D76" i="1"/>
  <c r="H76" i="1"/>
  <c r="J64" i="15"/>
  <c r="I76" i="34"/>
  <c r="F76" i="34"/>
  <c r="J76" i="34" s="1"/>
  <c r="K76" i="34" s="1"/>
  <c r="L76" i="34"/>
  <c r="H76" i="34"/>
  <c r="E76" i="34"/>
  <c r="I128" i="15"/>
  <c r="G129" i="15"/>
  <c r="M132" i="15"/>
  <c r="H126" i="15"/>
  <c r="F128" i="15"/>
  <c r="H131" i="15"/>
  <c r="F132" i="15"/>
  <c r="M124" i="15"/>
  <c r="G125" i="15"/>
  <c r="I131" i="15"/>
  <c r="M131" i="15"/>
  <c r="I124" i="15"/>
  <c r="G130" i="15"/>
  <c r="H114" i="15"/>
  <c r="L114" i="15"/>
  <c r="F115" i="15"/>
  <c r="H119" i="15"/>
  <c r="L119" i="15"/>
  <c r="L122" i="15"/>
  <c r="H125" i="15"/>
  <c r="L125" i="15"/>
  <c r="H128" i="15"/>
  <c r="L128" i="15"/>
  <c r="F129" i="15"/>
  <c r="H130" i="15"/>
  <c r="L130" i="15"/>
  <c r="F131" i="15"/>
  <c r="H132" i="15"/>
  <c r="L132" i="15"/>
  <c r="M117" i="15"/>
  <c r="M128" i="15"/>
  <c r="I132" i="15"/>
  <c r="F125" i="15"/>
  <c r="L131" i="15"/>
  <c r="F133" i="15"/>
  <c r="M109" i="15"/>
  <c r="M111" i="15"/>
  <c r="I119" i="15"/>
  <c r="G124" i="15"/>
  <c r="E125" i="15"/>
  <c r="M125" i="15"/>
  <c r="G131" i="15"/>
  <c r="H129" i="15"/>
  <c r="L129" i="15"/>
  <c r="F130" i="15"/>
  <c r="I109" i="15"/>
  <c r="G110" i="15"/>
  <c r="I111" i="15"/>
  <c r="I114" i="15"/>
  <c r="I117" i="15"/>
  <c r="M119" i="15"/>
  <c r="I125" i="15"/>
  <c r="M130" i="15"/>
  <c r="G133" i="15"/>
  <c r="G128" i="15"/>
  <c r="I129" i="15"/>
  <c r="M129" i="15"/>
  <c r="G132" i="15"/>
  <c r="F124" i="15"/>
  <c r="H106" i="15"/>
  <c r="F107" i="15"/>
  <c r="F109" i="15"/>
  <c r="H110" i="15"/>
  <c r="L110" i="15"/>
  <c r="F111" i="15"/>
  <c r="H115" i="15"/>
  <c r="L115" i="15"/>
  <c r="F119" i="15"/>
  <c r="G107" i="15"/>
  <c r="G109" i="15"/>
  <c r="G119" i="15"/>
  <c r="F112" i="15"/>
  <c r="H84" i="15"/>
  <c r="L84" i="15"/>
  <c r="H95" i="15"/>
  <c r="L95" i="15"/>
  <c r="L133" i="15"/>
  <c r="I115" i="15"/>
  <c r="M115" i="15"/>
  <c r="G122" i="15"/>
  <c r="D52" i="15"/>
  <c r="H52" i="15"/>
  <c r="L52" i="15"/>
  <c r="D63" i="15"/>
  <c r="H63"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D106" i="15"/>
  <c r="H88" i="15"/>
  <c r="F95" i="15"/>
  <c r="F105" i="15"/>
  <c r="H105" i="15"/>
  <c r="L105" i="15"/>
  <c r="G52" i="15"/>
  <c r="I56" i="15"/>
  <c r="M59" i="15"/>
  <c r="G63" i="15"/>
  <c r="I84" i="15"/>
  <c r="I95" i="15"/>
  <c r="M95" i="15"/>
  <c r="I105" i="15"/>
  <c r="M105" i="15"/>
  <c r="E31" i="15"/>
  <c r="I31" i="15"/>
  <c r="M31" i="15"/>
  <c r="M127" i="15" s="1"/>
  <c r="G84" i="15"/>
  <c r="G95" i="15"/>
  <c r="I52" i="15"/>
  <c r="M52" i="15"/>
  <c r="M63" i="15"/>
  <c r="H20" i="15"/>
  <c r="H116" i="15" s="1"/>
  <c r="L20" i="15"/>
  <c r="H31" i="15"/>
  <c r="H127" i="15"/>
  <c r="L31" i="15"/>
  <c r="J146" i="15"/>
  <c r="G17" i="15"/>
  <c r="G31" i="15"/>
  <c r="G127" i="15" s="1"/>
  <c r="I20" i="15"/>
  <c r="M20" i="15"/>
  <c r="F20" i="15"/>
  <c r="H27" i="15"/>
  <c r="G55" i="7"/>
  <c r="H227" i="15"/>
  <c r="C36" i="9"/>
  <c r="C96" i="15"/>
  <c r="C128" i="15" s="1"/>
  <c r="C76" i="15"/>
  <c r="K28" i="52"/>
  <c r="E201" i="15"/>
  <c r="J163" i="1"/>
  <c r="J138" i="1"/>
  <c r="K138" i="1"/>
  <c r="K192" i="15" s="1"/>
  <c r="E190" i="15"/>
  <c r="E191" i="15"/>
  <c r="E179" i="15"/>
  <c r="C63" i="15"/>
  <c r="C60" i="15"/>
  <c r="D31" i="15"/>
  <c r="D120" i="34"/>
  <c r="D112" i="34"/>
  <c r="D76" i="34"/>
  <c r="C124" i="15"/>
  <c r="C88" i="15"/>
  <c r="C89" i="15"/>
  <c r="C82" i="15"/>
  <c r="C84" i="15"/>
  <c r="I121" i="15"/>
  <c r="G89" i="15"/>
  <c r="G91" i="15"/>
  <c r="J93" i="15"/>
  <c r="K93" i="15"/>
  <c r="K125" i="15" s="1"/>
  <c r="K166" i="52"/>
  <c r="C120" i="52"/>
  <c r="K105" i="52"/>
  <c r="C76" i="52"/>
  <c r="K46" i="52"/>
  <c r="K121" i="52"/>
  <c r="J113" i="52"/>
  <c r="K113" i="52"/>
  <c r="K116" i="52"/>
  <c r="J201" i="15"/>
  <c r="E199" i="15"/>
  <c r="E198" i="15"/>
  <c r="J197" i="15"/>
  <c r="E197" i="15"/>
  <c r="E196" i="15"/>
  <c r="E194" i="15"/>
  <c r="E195" i="15" s="1"/>
  <c r="J193" i="15"/>
  <c r="J133" i="1"/>
  <c r="K133" i="1"/>
  <c r="K190" i="15" s="1"/>
  <c r="E186" i="15"/>
  <c r="J113" i="1"/>
  <c r="J186" i="15" s="1"/>
  <c r="J188" i="15" s="1"/>
  <c r="J77" i="1"/>
  <c r="E182" i="15"/>
  <c r="E184" i="15"/>
  <c r="J70" i="1"/>
  <c r="K70" i="1"/>
  <c r="E178" i="15"/>
  <c r="E8" i="1"/>
  <c r="J46" i="1"/>
  <c r="J177" i="15" s="1"/>
  <c r="K39" i="1"/>
  <c r="K176" i="15"/>
  <c r="J176" i="15"/>
  <c r="E176" i="15"/>
  <c r="J28" i="1"/>
  <c r="E172" i="15"/>
  <c r="J9" i="1"/>
  <c r="J172" i="15" s="1"/>
  <c r="C194" i="15"/>
  <c r="C195" i="15" s="1"/>
  <c r="D120" i="1"/>
  <c r="H120" i="1"/>
  <c r="G189" i="15"/>
  <c r="J121" i="1"/>
  <c r="K121" i="1" s="1"/>
  <c r="K189" i="15" s="1"/>
  <c r="J189" i="15"/>
  <c r="C133" i="15"/>
  <c r="C68" i="15"/>
  <c r="C132" i="15" s="1"/>
  <c r="C59" i="15"/>
  <c r="C117" i="15"/>
  <c r="C51" i="15"/>
  <c r="C52" i="15" s="1"/>
  <c r="C116" i="15" s="1"/>
  <c r="C111" i="15"/>
  <c r="C110" i="15"/>
  <c r="C109" i="15"/>
  <c r="C44" i="15"/>
  <c r="C108" i="15"/>
  <c r="C107" i="15"/>
  <c r="C105" i="15"/>
  <c r="C40" i="15"/>
  <c r="I126" i="15"/>
  <c r="I63" i="15"/>
  <c r="I127" i="15" s="1"/>
  <c r="L126" i="15"/>
  <c r="E62" i="15"/>
  <c r="F126" i="15"/>
  <c r="D57" i="15"/>
  <c r="D121" i="15" s="1"/>
  <c r="H57" i="15"/>
  <c r="G57" i="15"/>
  <c r="G121" i="15" s="1"/>
  <c r="D27" i="15"/>
  <c r="D23" i="15"/>
  <c r="D22" i="15"/>
  <c r="D19" i="15"/>
  <c r="D8" i="34"/>
  <c r="D9" i="15"/>
  <c r="D105" i="15"/>
  <c r="F31" i="15"/>
  <c r="F127" i="15" s="1"/>
  <c r="F121" i="15"/>
  <c r="F27" i="15"/>
  <c r="F120" i="34"/>
  <c r="C31" i="15"/>
  <c r="C126" i="15"/>
  <c r="C22" i="15"/>
  <c r="C23" i="15"/>
  <c r="C119" i="15"/>
  <c r="C18" i="15"/>
  <c r="C114" i="15" s="1"/>
  <c r="E169" i="1"/>
  <c r="J190" i="15"/>
  <c r="J191" i="15" s="1"/>
  <c r="K113" i="1"/>
  <c r="K186" i="15" s="1"/>
  <c r="J180" i="15"/>
  <c r="K180" i="15"/>
  <c r="D59" i="15"/>
  <c r="N6" i="32"/>
  <c r="E85" i="39"/>
  <c r="B85" i="39"/>
  <c r="E79" i="39"/>
  <c r="G36" i="8"/>
  <c r="J36" i="8"/>
  <c r="K36" i="8"/>
  <c r="P35" i="28" s="1"/>
  <c r="N35" i="28" s="1"/>
  <c r="O35" i="28" s="1"/>
  <c r="J296" i="47"/>
  <c r="K296" i="47" s="1"/>
  <c r="G59" i="15"/>
  <c r="I116" i="15"/>
  <c r="B90" i="39"/>
  <c r="A12" i="11"/>
  <c r="A10" i="32"/>
  <c r="A28" i="32"/>
  <c r="A29" i="47"/>
  <c r="A197" i="47" s="1"/>
  <c r="A27" i="8" s="1"/>
  <c r="A26" i="28" s="1"/>
  <c r="A30" i="48"/>
  <c r="A199" i="48" s="1"/>
  <c r="A28" i="11" s="1"/>
  <c r="C47" i="9"/>
  <c r="M46" i="9"/>
  <c r="R45" i="29" s="1"/>
  <c r="A22" i="11"/>
  <c r="A20" i="32"/>
  <c r="A38" i="32" s="1"/>
  <c r="A331" i="48"/>
  <c r="A40" i="11"/>
  <c r="D7" i="14"/>
  <c r="G39" i="20"/>
  <c r="H7" i="22" s="1"/>
  <c r="H30" i="8"/>
  <c r="J30" i="8" s="1"/>
  <c r="H340" i="47"/>
  <c r="H342" i="47" s="1"/>
  <c r="K69" i="15"/>
  <c r="D173" i="48"/>
  <c r="K173" i="48" s="1"/>
  <c r="D15" i="11"/>
  <c r="I14" i="11"/>
  <c r="I173" i="48"/>
  <c r="J10" i="11"/>
  <c r="K10" i="11" s="1"/>
  <c r="P8" i="32" s="1"/>
  <c r="N8" i="32" s="1"/>
  <c r="C17" i="16"/>
  <c r="K131" i="17"/>
  <c r="K58" i="17"/>
  <c r="D32" i="8"/>
  <c r="D340" i="47"/>
  <c r="D342" i="47"/>
  <c r="J192" i="15"/>
  <c r="L127" i="15"/>
  <c r="E40" i="8"/>
  <c r="G340" i="47"/>
  <c r="G342" i="47" s="1"/>
  <c r="R31" i="32"/>
  <c r="J208" i="47"/>
  <c r="I28" i="8"/>
  <c r="J28" i="8"/>
  <c r="L27" i="8"/>
  <c r="R17" i="28"/>
  <c r="H22" i="8"/>
  <c r="J10" i="8"/>
  <c r="K10" i="8" s="1"/>
  <c r="P9" i="28" s="1"/>
  <c r="N9" i="28" s="1"/>
  <c r="O9" i="28" s="1"/>
  <c r="H29" i="23"/>
  <c r="K21" i="8"/>
  <c r="P20" i="28"/>
  <c r="N20" i="28" s="1"/>
  <c r="O20" i="28" s="1"/>
  <c r="J173" i="48"/>
  <c r="J48" i="12"/>
  <c r="H55" i="25"/>
  <c r="I20" i="25"/>
  <c r="I28" i="25"/>
  <c r="I55" i="25" s="1"/>
  <c r="H23" i="11"/>
  <c r="D40" i="7"/>
  <c r="E42" i="12"/>
  <c r="A21" i="11"/>
  <c r="A19" i="32"/>
  <c r="A37" i="32" s="1"/>
  <c r="A320" i="48"/>
  <c r="A39" i="11"/>
  <c r="A296" i="47"/>
  <c r="A36" i="8" s="1"/>
  <c r="A35" i="28" s="1"/>
  <c r="A18" i="8"/>
  <c r="A17" i="28"/>
  <c r="F39" i="8"/>
  <c r="J39" i="8"/>
  <c r="K39" i="8"/>
  <c r="P38" i="28" s="1"/>
  <c r="N38" i="28" s="1"/>
  <c r="O38" i="28" s="1"/>
  <c r="J329" i="47"/>
  <c r="K329" i="47" s="1"/>
  <c r="M19" i="8"/>
  <c r="G36" i="12"/>
  <c r="J32" i="12"/>
  <c r="K22" i="18"/>
  <c r="J24" i="18"/>
  <c r="I39" i="23"/>
  <c r="I34" i="24"/>
  <c r="H32" i="24"/>
  <c r="H48" i="24" s="1"/>
  <c r="J76" i="1"/>
  <c r="J9" i="8"/>
  <c r="E22" i="8"/>
  <c r="M32" i="8"/>
  <c r="R31" i="28" s="1"/>
  <c r="G40" i="8"/>
  <c r="Q21" i="32"/>
  <c r="C40" i="11"/>
  <c r="K331" i="48"/>
  <c r="G33" i="11"/>
  <c r="G342" i="48"/>
  <c r="C29" i="11"/>
  <c r="J162" i="48"/>
  <c r="K162" i="48"/>
  <c r="F22" i="11"/>
  <c r="F23" i="11" s="1"/>
  <c r="F21" i="11"/>
  <c r="J21" i="11"/>
  <c r="J151" i="48"/>
  <c r="K151" i="48" s="1"/>
  <c r="K17" i="11"/>
  <c r="P15" i="32"/>
  <c r="N15" i="32"/>
  <c r="F7" i="14"/>
  <c r="E47" i="7"/>
  <c r="F20" i="14"/>
  <c r="E51" i="7" s="1"/>
  <c r="J13" i="14"/>
  <c r="K41" i="16"/>
  <c r="D48" i="16"/>
  <c r="A263" i="47"/>
  <c r="A33" i="8" s="1"/>
  <c r="A32" i="28" s="1"/>
  <c r="A15" i="8"/>
  <c r="A14" i="28"/>
  <c r="G15" i="20"/>
  <c r="C39" i="7"/>
  <c r="F38" i="8"/>
  <c r="F40" i="8" s="1"/>
  <c r="F41" i="8" s="1"/>
  <c r="J38" i="8"/>
  <c r="K38" i="8" s="1"/>
  <c r="P37" i="28" s="1"/>
  <c r="N37" i="28" s="1"/>
  <c r="O37" i="28" s="1"/>
  <c r="J318" i="47"/>
  <c r="K318" i="47" s="1"/>
  <c r="G16" i="8"/>
  <c r="J106" i="47"/>
  <c r="K106" i="47" s="1"/>
  <c r="K73" i="47"/>
  <c r="D13" i="8"/>
  <c r="D54" i="15"/>
  <c r="D118" i="15" s="1"/>
  <c r="H54" i="15"/>
  <c r="E58" i="15"/>
  <c r="E59" i="15"/>
  <c r="I58" i="15"/>
  <c r="I59" i="15" s="1"/>
  <c r="H42" i="12"/>
  <c r="J27" i="8"/>
  <c r="H65" i="11"/>
  <c r="H91" i="11" s="1"/>
  <c r="M63" i="18"/>
  <c r="G49" i="23"/>
  <c r="P52" i="31"/>
  <c r="P54" i="31" s="1"/>
  <c r="P63" i="31"/>
  <c r="M54" i="31"/>
  <c r="M64" i="31" s="1"/>
  <c r="J14" i="34"/>
  <c r="D194" i="15"/>
  <c r="D195" i="15"/>
  <c r="D141" i="1"/>
  <c r="F82" i="15"/>
  <c r="K12" i="11"/>
  <c r="P10" i="32" s="1"/>
  <c r="N10" i="32" s="1"/>
  <c r="E40" i="13"/>
  <c r="E42" i="13"/>
  <c r="D45" i="7"/>
  <c r="D50" i="24"/>
  <c r="E43" i="15"/>
  <c r="E174" i="15"/>
  <c r="E181" i="15" s="1"/>
  <c r="J18" i="1"/>
  <c r="J197" i="47"/>
  <c r="K197" i="47"/>
  <c r="J12" i="8"/>
  <c r="K12" i="8" s="1"/>
  <c r="P11" i="28" s="1"/>
  <c r="N11" i="28" s="1"/>
  <c r="O11" i="28" s="1"/>
  <c r="J39" i="11"/>
  <c r="K39" i="11" s="1"/>
  <c r="P37" i="32" s="1"/>
  <c r="N37" i="32" s="1"/>
  <c r="J320" i="48"/>
  <c r="K320" i="48" s="1"/>
  <c r="D65" i="7"/>
  <c r="I65" i="7"/>
  <c r="E29" i="16"/>
  <c r="C48" i="24"/>
  <c r="G29" i="24"/>
  <c r="G50" i="24" s="1"/>
  <c r="E9" i="15"/>
  <c r="H45" i="23"/>
  <c r="H48" i="23" s="1"/>
  <c r="H49" i="23" s="1"/>
  <c r="I46" i="23"/>
  <c r="I45" i="23"/>
  <c r="I99" i="27"/>
  <c r="D12" i="15"/>
  <c r="D14" i="15"/>
  <c r="D110" i="15"/>
  <c r="D117" i="15"/>
  <c r="C26" i="15"/>
  <c r="D18" i="15"/>
  <c r="G40" i="15"/>
  <c r="M40" i="15"/>
  <c r="M49" i="15"/>
  <c r="E41" i="15"/>
  <c r="I172" i="15"/>
  <c r="I8" i="1"/>
  <c r="D173" i="15"/>
  <c r="E185" i="15"/>
  <c r="J105" i="1"/>
  <c r="J143" i="52"/>
  <c r="E141" i="52"/>
  <c r="J141" i="52" s="1"/>
  <c r="E96" i="15"/>
  <c r="E128" i="15"/>
  <c r="D97" i="15"/>
  <c r="E99" i="15"/>
  <c r="D47" i="15"/>
  <c r="D111" i="15"/>
  <c r="F52" i="15"/>
  <c r="E67" i="15"/>
  <c r="L186" i="15"/>
  <c r="L188" i="15"/>
  <c r="E14" i="18"/>
  <c r="E10" i="12" s="1"/>
  <c r="E14" i="12" s="1"/>
  <c r="J29" i="24"/>
  <c r="K51" i="25"/>
  <c r="K42" i="26"/>
  <c r="H48" i="27"/>
  <c r="H101" i="27"/>
  <c r="H103" i="27"/>
  <c r="H40" i="32"/>
  <c r="D40" i="32"/>
  <c r="E143" i="21"/>
  <c r="I168" i="21"/>
  <c r="F180" i="21"/>
  <c r="F235" i="21"/>
  <c r="C19" i="15"/>
  <c r="C20" i="15"/>
  <c r="C76" i="34"/>
  <c r="G19" i="15"/>
  <c r="G76" i="34"/>
  <c r="J105" i="34"/>
  <c r="E21" i="15"/>
  <c r="J116" i="34"/>
  <c r="E23" i="15"/>
  <c r="D68" i="15"/>
  <c r="D132" i="15" s="1"/>
  <c r="D179" i="15"/>
  <c r="J116" i="1"/>
  <c r="J187" i="15"/>
  <c r="E187" i="15"/>
  <c r="E188" i="15"/>
  <c r="G120" i="1"/>
  <c r="G190" i="15"/>
  <c r="G191" i="15" s="1"/>
  <c r="M190" i="15"/>
  <c r="M191" i="15" s="1"/>
  <c r="C26" i="33"/>
  <c r="H134" i="21"/>
  <c r="H8" i="34"/>
  <c r="H8" i="15"/>
  <c r="D13" i="15"/>
  <c r="D109" i="15" s="1"/>
  <c r="F186" i="15"/>
  <c r="F188" i="15" s="1"/>
  <c r="F112" i="1"/>
  <c r="J9" i="34"/>
  <c r="J8" i="15" s="1"/>
  <c r="E8" i="34"/>
  <c r="E169" i="34" s="1"/>
  <c r="E8" i="15"/>
  <c r="I8" i="15"/>
  <c r="J39" i="34"/>
  <c r="J12" i="15"/>
  <c r="E12" i="15"/>
  <c r="J46" i="34"/>
  <c r="J13" i="15" s="1"/>
  <c r="J109" i="15" s="1"/>
  <c r="E13" i="15"/>
  <c r="J54" i="34"/>
  <c r="K54" i="34" s="1"/>
  <c r="K14" i="15" s="1"/>
  <c r="E14" i="15"/>
  <c r="J113" i="34"/>
  <c r="E112" i="34"/>
  <c r="E22" i="15"/>
  <c r="I112" i="34"/>
  <c r="I22" i="15"/>
  <c r="J77" i="34"/>
  <c r="J18" i="15" s="1"/>
  <c r="E18" i="15"/>
  <c r="E47" i="15"/>
  <c r="E53" i="15"/>
  <c r="D55" i="15"/>
  <c r="E68" i="15"/>
  <c r="F8" i="1"/>
  <c r="F172" i="15"/>
  <c r="F181" i="15" s="1"/>
  <c r="C76" i="1"/>
  <c r="K76" i="1" s="1"/>
  <c r="C182" i="15"/>
  <c r="C184" i="15" s="1"/>
  <c r="G112" i="1"/>
  <c r="G186" i="15"/>
  <c r="G188" i="15"/>
  <c r="M112" i="1"/>
  <c r="M186" i="15"/>
  <c r="M188" i="15" s="1"/>
  <c r="G72" i="15"/>
  <c r="G81" i="15"/>
  <c r="M72" i="15"/>
  <c r="M81" i="15" s="1"/>
  <c r="M71" i="15" s="1"/>
  <c r="E74" i="15"/>
  <c r="E79" i="15"/>
  <c r="F90" i="15"/>
  <c r="E92" i="15"/>
  <c r="E124" i="15"/>
  <c r="E97" i="15"/>
  <c r="M22" i="15"/>
  <c r="D40" i="15"/>
  <c r="D104" i="15" s="1"/>
  <c r="L59" i="15"/>
  <c r="J151" i="34"/>
  <c r="J32" i="15"/>
  <c r="J138" i="34"/>
  <c r="K138" i="34" s="1"/>
  <c r="K28" i="15" s="1"/>
  <c r="E28" i="15"/>
  <c r="E25" i="9"/>
  <c r="F8" i="34"/>
  <c r="F8" i="15"/>
  <c r="J64" i="34"/>
  <c r="K64" i="34" s="1"/>
  <c r="K15" i="15" s="1"/>
  <c r="J15" i="15"/>
  <c r="E15" i="15"/>
  <c r="J100" i="34"/>
  <c r="K100" i="34"/>
  <c r="K19" i="15"/>
  <c r="E19" i="15"/>
  <c r="F112" i="34"/>
  <c r="F22" i="15"/>
  <c r="L112" i="34"/>
  <c r="L22" i="15"/>
  <c r="L24" i="15" s="1"/>
  <c r="J154" i="34"/>
  <c r="J33" i="15" s="1"/>
  <c r="J157" i="34"/>
  <c r="J34" i="15" s="1"/>
  <c r="E34" i="15"/>
  <c r="E42" i="15"/>
  <c r="E106" i="15"/>
  <c r="F54" i="15"/>
  <c r="F56" i="15" s="1"/>
  <c r="L54" i="15"/>
  <c r="L56" i="15"/>
  <c r="D65" i="15"/>
  <c r="C172" i="15"/>
  <c r="G8" i="1"/>
  <c r="M172" i="15"/>
  <c r="J14" i="1"/>
  <c r="J173" i="15" s="1"/>
  <c r="D183" i="15"/>
  <c r="D184" i="15"/>
  <c r="H112" i="1"/>
  <c r="H186" i="15"/>
  <c r="H188" i="15" s="1"/>
  <c r="D187" i="15"/>
  <c r="I190" i="15"/>
  <c r="I191" i="15"/>
  <c r="I120" i="1"/>
  <c r="H141" i="1"/>
  <c r="L141" i="1"/>
  <c r="J9" i="52"/>
  <c r="K9" i="52" s="1"/>
  <c r="E8" i="52"/>
  <c r="I8" i="52"/>
  <c r="J39" i="52"/>
  <c r="K39" i="52"/>
  <c r="J70" i="52"/>
  <c r="K70" i="52"/>
  <c r="J133" i="52"/>
  <c r="K133" i="52"/>
  <c r="J157" i="52"/>
  <c r="K157" i="52"/>
  <c r="D72" i="15"/>
  <c r="E77" i="15"/>
  <c r="D83" i="15"/>
  <c r="E85" i="15"/>
  <c r="E117" i="15" s="1"/>
  <c r="E86" i="15"/>
  <c r="I86" i="15"/>
  <c r="I88" i="15"/>
  <c r="E87" i="15"/>
  <c r="E88" i="15"/>
  <c r="M90" i="15"/>
  <c r="D94" i="15"/>
  <c r="E40" i="15"/>
  <c r="H72" i="15"/>
  <c r="H81" i="15"/>
  <c r="E120" i="52"/>
  <c r="J70" i="34"/>
  <c r="J16" i="15"/>
  <c r="E16" i="15"/>
  <c r="E112" i="15" s="1"/>
  <c r="J28" i="34"/>
  <c r="J18" i="34"/>
  <c r="J10" i="15" s="1"/>
  <c r="G8" i="34"/>
  <c r="J133" i="34"/>
  <c r="K133" i="34" s="1"/>
  <c r="K26" i="15" s="1"/>
  <c r="J26" i="15"/>
  <c r="E26" i="15"/>
  <c r="E27" i="15"/>
  <c r="I120" i="34"/>
  <c r="I26" i="15"/>
  <c r="I27" i="15" s="1"/>
  <c r="J160" i="34"/>
  <c r="J35" i="15"/>
  <c r="E35" i="15"/>
  <c r="E131" i="15" s="1"/>
  <c r="J163" i="34"/>
  <c r="J36" i="15"/>
  <c r="J166" i="34"/>
  <c r="J37" i="15" s="1"/>
  <c r="J133" i="15" s="1"/>
  <c r="F40" i="15"/>
  <c r="F49" i="15"/>
  <c r="L40" i="15"/>
  <c r="E46" i="15"/>
  <c r="E49" i="15" s="1"/>
  <c r="E48" i="15"/>
  <c r="E51" i="15"/>
  <c r="E52" i="15"/>
  <c r="G54" i="15"/>
  <c r="M54" i="15"/>
  <c r="M56" i="15"/>
  <c r="M39" i="15"/>
  <c r="H58" i="15"/>
  <c r="E65" i="15"/>
  <c r="E129" i="15"/>
  <c r="E66" i="15"/>
  <c r="D8" i="1"/>
  <c r="D172" i="15"/>
  <c r="H8" i="1"/>
  <c r="H172" i="15"/>
  <c r="H181" i="15" s="1"/>
  <c r="D112" i="1"/>
  <c r="D186" i="15"/>
  <c r="D188" i="15" s="1"/>
  <c r="D171" i="15" s="1"/>
  <c r="C58" i="7" s="1"/>
  <c r="I186" i="15"/>
  <c r="I188" i="15"/>
  <c r="I112" i="1"/>
  <c r="C120" i="1"/>
  <c r="K120" i="1" s="1"/>
  <c r="C190" i="15"/>
  <c r="L190" i="15"/>
  <c r="K166" i="1"/>
  <c r="K201" i="15"/>
  <c r="F8" i="52"/>
  <c r="J14" i="52"/>
  <c r="D76" i="15"/>
  <c r="D108" i="15" s="1"/>
  <c r="M82" i="15"/>
  <c r="E83" i="15"/>
  <c r="E115" i="15" s="1"/>
  <c r="F86" i="15"/>
  <c r="F88" i="15" s="1"/>
  <c r="L86" i="15"/>
  <c r="L88" i="15" s="1"/>
  <c r="E100" i="15"/>
  <c r="E11" i="15"/>
  <c r="E107" i="15" s="1"/>
  <c r="G22" i="15"/>
  <c r="G27" i="15"/>
  <c r="G123" i="15"/>
  <c r="D125" i="15"/>
  <c r="E36" i="15"/>
  <c r="E37" i="15"/>
  <c r="E133" i="15"/>
  <c r="H40" i="15"/>
  <c r="H49" i="15" s="1"/>
  <c r="E54" i="15"/>
  <c r="E94" i="15"/>
  <c r="J64" i="52"/>
  <c r="K64" i="52" s="1"/>
  <c r="J100" i="52"/>
  <c r="K100" i="52"/>
  <c r="D120" i="52"/>
  <c r="H120" i="52"/>
  <c r="J151" i="52"/>
  <c r="K151" i="52"/>
  <c r="J163" i="52"/>
  <c r="K163" i="52" s="1"/>
  <c r="E82" i="15"/>
  <c r="E84" i="15"/>
  <c r="D86" i="15"/>
  <c r="D88" i="15" s="1"/>
  <c r="E90" i="15"/>
  <c r="I90" i="15"/>
  <c r="I91" i="15" s="1"/>
  <c r="E98" i="15"/>
  <c r="G86" i="15"/>
  <c r="G88" i="15"/>
  <c r="J121" i="34"/>
  <c r="K121" i="34" s="1"/>
  <c r="K25" i="15" s="1"/>
  <c r="K27" i="15" s="1"/>
  <c r="E120" i="34"/>
  <c r="H120" i="34"/>
  <c r="J141" i="34"/>
  <c r="J143" i="34"/>
  <c r="J30" i="15"/>
  <c r="L89" i="15"/>
  <c r="L91" i="15" s="1"/>
  <c r="J18" i="52"/>
  <c r="K18" i="52"/>
  <c r="J54" i="52"/>
  <c r="K54" i="52" s="1"/>
  <c r="G120" i="52"/>
  <c r="M120" i="52"/>
  <c r="J138" i="52"/>
  <c r="K138" i="52" s="1"/>
  <c r="E72" i="15"/>
  <c r="J76" i="15"/>
  <c r="E80" i="15"/>
  <c r="M86" i="15"/>
  <c r="M88" i="15"/>
  <c r="D90" i="15"/>
  <c r="D91" i="15" s="1"/>
  <c r="D123" i="15" s="1"/>
  <c r="F72" i="15"/>
  <c r="F81" i="15" s="1"/>
  <c r="L72" i="15"/>
  <c r="L81" i="15" s="1"/>
  <c r="E76" i="15"/>
  <c r="E78" i="15"/>
  <c r="H195" i="15"/>
  <c r="D141" i="34"/>
  <c r="K141" i="34"/>
  <c r="E112" i="52"/>
  <c r="E169" i="52" s="1"/>
  <c r="E170" i="15" s="1"/>
  <c r="F191" i="15"/>
  <c r="G120" i="34"/>
  <c r="F112" i="52"/>
  <c r="H89" i="15"/>
  <c r="I112" i="52"/>
  <c r="J100" i="1"/>
  <c r="K100" i="1" s="1"/>
  <c r="K183" i="15" s="1"/>
  <c r="J183" i="15"/>
  <c r="F120" i="1"/>
  <c r="J120" i="1" s="1"/>
  <c r="C112" i="52"/>
  <c r="G112" i="52"/>
  <c r="M112" i="52"/>
  <c r="D122" i="15"/>
  <c r="H56" i="15"/>
  <c r="J78" i="15"/>
  <c r="K28" i="34"/>
  <c r="K11" i="15" s="1"/>
  <c r="J11" i="15"/>
  <c r="E130" i="15"/>
  <c r="L118" i="15"/>
  <c r="I118" i="15"/>
  <c r="I24" i="15"/>
  <c r="I120" i="15"/>
  <c r="J22" i="15"/>
  <c r="K113" i="34"/>
  <c r="K22" i="15" s="1"/>
  <c r="K24" i="15" s="1"/>
  <c r="E109" i="15"/>
  <c r="K46" i="34"/>
  <c r="K13" i="15" s="1"/>
  <c r="K14" i="1"/>
  <c r="K173" i="15"/>
  <c r="J174" i="15"/>
  <c r="K18" i="1"/>
  <c r="K174" i="15" s="1"/>
  <c r="F114" i="15"/>
  <c r="F84" i="15"/>
  <c r="D23" i="11"/>
  <c r="I23" i="11"/>
  <c r="M91" i="15"/>
  <c r="M122" i="15"/>
  <c r="J19" i="15"/>
  <c r="H17" i="15"/>
  <c r="C115" i="15"/>
  <c r="G49" i="15"/>
  <c r="G104" i="15"/>
  <c r="K143" i="34"/>
  <c r="K30" i="15"/>
  <c r="K31" i="15" s="1"/>
  <c r="G24" i="15"/>
  <c r="J100" i="15"/>
  <c r="M84" i="15"/>
  <c r="M116" i="15" s="1"/>
  <c r="M114" i="15"/>
  <c r="I122" i="15"/>
  <c r="F24" i="15"/>
  <c r="F120" i="15" s="1"/>
  <c r="F118" i="15"/>
  <c r="K70" i="34"/>
  <c r="K16" i="15" s="1"/>
  <c r="M24" i="15"/>
  <c r="M120" i="15" s="1"/>
  <c r="E104" i="15"/>
  <c r="E17" i="15"/>
  <c r="K151" i="34"/>
  <c r="K32" i="15" s="1"/>
  <c r="J185" i="15"/>
  <c r="K105" i="1"/>
  <c r="K185" i="15" s="1"/>
  <c r="D17" i="15"/>
  <c r="E7" i="14"/>
  <c r="D47" i="7"/>
  <c r="J16" i="8"/>
  <c r="K16" i="8" s="1"/>
  <c r="P15" i="28" s="1"/>
  <c r="N15" i="28" s="1"/>
  <c r="F8" i="14"/>
  <c r="F10" i="14" s="1"/>
  <c r="K48" i="12"/>
  <c r="D169" i="34"/>
  <c r="D343" i="48"/>
  <c r="D40" i="8"/>
  <c r="J101" i="15"/>
  <c r="J31" i="15"/>
  <c r="D49" i="15"/>
  <c r="D39" i="15" s="1"/>
  <c r="E114" i="15"/>
  <c r="E20" i="15"/>
  <c r="E116" i="15" s="1"/>
  <c r="J21" i="15"/>
  <c r="K105" i="34"/>
  <c r="K21" i="15"/>
  <c r="N6" i="28"/>
  <c r="O6" i="28" s="1"/>
  <c r="H91" i="15"/>
  <c r="H121" i="15"/>
  <c r="J73" i="15"/>
  <c r="J66" i="15"/>
  <c r="H122" i="15"/>
  <c r="H59" i="15"/>
  <c r="L169" i="53"/>
  <c r="E95" i="15"/>
  <c r="E132" i="15"/>
  <c r="D181" i="15"/>
  <c r="J48" i="15"/>
  <c r="D126" i="15"/>
  <c r="D95" i="15"/>
  <c r="D127" i="15" s="1"/>
  <c r="K160" i="34"/>
  <c r="K35" i="15" s="1"/>
  <c r="F169" i="34"/>
  <c r="F91" i="15"/>
  <c r="F123" i="15" s="1"/>
  <c r="F122" i="15"/>
  <c r="G71" i="15"/>
  <c r="K157" i="34"/>
  <c r="K34" i="15" s="1"/>
  <c r="K116" i="34"/>
  <c r="K23" i="15"/>
  <c r="J23" i="15"/>
  <c r="G115" i="15"/>
  <c r="G20" i="15"/>
  <c r="J96" i="15"/>
  <c r="J128" i="15"/>
  <c r="D114" i="15"/>
  <c r="D20" i="15"/>
  <c r="K39" i="34"/>
  <c r="K12" i="15" s="1"/>
  <c r="K108" i="15" s="1"/>
  <c r="E105" i="15"/>
  <c r="D56" i="15"/>
  <c r="K13" i="8"/>
  <c r="P12" i="28" s="1"/>
  <c r="N12" i="28" s="1"/>
  <c r="O12" i="28" s="1"/>
  <c r="D22" i="8"/>
  <c r="D41" i="8" s="1"/>
  <c r="K13" i="14"/>
  <c r="G343" i="48"/>
  <c r="E41" i="8"/>
  <c r="F39" i="7"/>
  <c r="I39" i="7"/>
  <c r="K9" i="11"/>
  <c r="P7" i="32" s="1"/>
  <c r="N7" i="32" s="1"/>
  <c r="A9" i="8"/>
  <c r="A8" i="28"/>
  <c r="J8" i="1"/>
  <c r="H123" i="15"/>
  <c r="G113" i="15"/>
  <c r="G116" i="15"/>
  <c r="E8" i="14"/>
  <c r="E10" i="14"/>
  <c r="F116" i="15"/>
  <c r="J24" i="15"/>
  <c r="D17" i="7"/>
  <c r="B18" i="39"/>
  <c r="M2" i="11" s="1"/>
  <c r="X38" i="45"/>
  <c r="L272" i="21"/>
  <c r="R30" i="30"/>
  <c r="G37" i="10"/>
  <c r="J31" i="10"/>
  <c r="F17" i="7"/>
  <c r="D11" i="7"/>
  <c r="G8" i="20"/>
  <c r="C17" i="7"/>
  <c r="C8" i="10"/>
  <c r="F37" i="10"/>
  <c r="G13" i="7"/>
  <c r="G19" i="7"/>
  <c r="H37" i="10"/>
  <c r="J33" i="10"/>
  <c r="G55" i="8"/>
  <c r="L81" i="16"/>
  <c r="K62" i="7" s="1"/>
  <c r="H81" i="16"/>
  <c r="G62" i="7"/>
  <c r="D81" i="16"/>
  <c r="C62" i="7" s="1"/>
  <c r="R6" i="30"/>
  <c r="L7" i="7"/>
  <c r="J7" i="10"/>
  <c r="D7" i="7"/>
  <c r="M60" i="16"/>
  <c r="G35" i="17"/>
  <c r="G11" i="10"/>
  <c r="C61" i="16"/>
  <c r="L296" i="21"/>
  <c r="J34" i="17"/>
  <c r="J35" i="17"/>
  <c r="E35" i="17"/>
  <c r="E11" i="10"/>
  <c r="I35" i="17"/>
  <c r="I11" i="10"/>
  <c r="L61" i="16"/>
  <c r="L58" i="16"/>
  <c r="F61" i="16"/>
  <c r="D61" i="16"/>
  <c r="H61" i="16"/>
  <c r="M276" i="21"/>
  <c r="M284" i="21" s="1"/>
  <c r="G58" i="16"/>
  <c r="E28" i="17"/>
  <c r="E10" i="10"/>
  <c r="I28" i="17"/>
  <c r="I10" i="10"/>
  <c r="J27" i="17"/>
  <c r="M61" i="16"/>
  <c r="E61" i="16"/>
  <c r="I61" i="16"/>
  <c r="I62" i="16"/>
  <c r="H61" i="7"/>
  <c r="I22" i="17"/>
  <c r="I9" i="10" s="1"/>
  <c r="E57" i="16"/>
  <c r="L16" i="17"/>
  <c r="L8" i="10" s="1"/>
  <c r="M16" i="17"/>
  <c r="M8" i="10" s="1"/>
  <c r="G59" i="16"/>
  <c r="D16" i="17"/>
  <c r="D8" i="10"/>
  <c r="H16" i="17"/>
  <c r="H8" i="10" s="1"/>
  <c r="R10" i="30"/>
  <c r="K166" i="53"/>
  <c r="K101" i="15" s="1"/>
  <c r="J143" i="53"/>
  <c r="J94" i="15" s="1"/>
  <c r="J95" i="15" s="1"/>
  <c r="J121" i="53"/>
  <c r="E120" i="53"/>
  <c r="J28" i="53"/>
  <c r="J75" i="15" s="1"/>
  <c r="K28" i="53"/>
  <c r="K75" i="15" s="1"/>
  <c r="D120" i="53"/>
  <c r="J113" i="53"/>
  <c r="J77" i="53"/>
  <c r="J82" i="15"/>
  <c r="D8" i="53"/>
  <c r="D169" i="53"/>
  <c r="J76" i="37"/>
  <c r="K141" i="37"/>
  <c r="E120" i="37"/>
  <c r="J120" i="37"/>
  <c r="D120" i="37"/>
  <c r="K120" i="37" s="1"/>
  <c r="J113" i="37"/>
  <c r="J54" i="15"/>
  <c r="K113" i="37"/>
  <c r="K54" i="15" s="1"/>
  <c r="J77" i="37"/>
  <c r="J50" i="15"/>
  <c r="J52" i="15"/>
  <c r="K77" i="37"/>
  <c r="K50" i="15" s="1"/>
  <c r="K52" i="15" s="1"/>
  <c r="J9" i="37"/>
  <c r="J40" i="15" s="1"/>
  <c r="J116" i="37"/>
  <c r="J55" i="15"/>
  <c r="K116" i="37"/>
  <c r="K55" i="15" s="1"/>
  <c r="J100" i="37"/>
  <c r="J51" i="15"/>
  <c r="K100" i="37"/>
  <c r="K51" i="15" s="1"/>
  <c r="D27" i="46"/>
  <c r="F100" i="46"/>
  <c r="J133" i="46"/>
  <c r="K133" i="46" s="1"/>
  <c r="J101" i="46"/>
  <c r="K101" i="46"/>
  <c r="F7" i="46"/>
  <c r="G129" i="46"/>
  <c r="J130" i="46"/>
  <c r="D7" i="46"/>
  <c r="G7" i="46"/>
  <c r="E100" i="46"/>
  <c r="J100" i="46" s="1"/>
  <c r="I7" i="9"/>
  <c r="H34" i="9"/>
  <c r="E7" i="9"/>
  <c r="J236" i="46"/>
  <c r="K236" i="46" s="1"/>
  <c r="J147" i="46"/>
  <c r="K147" i="46"/>
  <c r="F198" i="46"/>
  <c r="G149" i="46"/>
  <c r="J16" i="9"/>
  <c r="I27" i="46"/>
  <c r="H7" i="9"/>
  <c r="J11" i="46"/>
  <c r="J25" i="46"/>
  <c r="E27" i="46"/>
  <c r="J27" i="46" s="1"/>
  <c r="J32" i="9"/>
  <c r="J187" i="46"/>
  <c r="J56" i="46"/>
  <c r="K56" i="46" s="1"/>
  <c r="E23" i="9"/>
  <c r="E7" i="46"/>
  <c r="D198" i="46"/>
  <c r="J36" i="9"/>
  <c r="H222" i="46"/>
  <c r="G198" i="46"/>
  <c r="D40" i="9"/>
  <c r="J178" i="46"/>
  <c r="K178" i="46"/>
  <c r="F34" i="9"/>
  <c r="M21" i="9"/>
  <c r="R20" i="29" s="1"/>
  <c r="Q17" i="29"/>
  <c r="E11" i="9"/>
  <c r="J172" i="46"/>
  <c r="K172" i="46" s="1"/>
  <c r="J231" i="46"/>
  <c r="K231" i="46"/>
  <c r="J68" i="46"/>
  <c r="H149" i="46"/>
  <c r="Q23" i="29"/>
  <c r="G43" i="9"/>
  <c r="H100" i="46"/>
  <c r="H47" i="9"/>
  <c r="J47" i="9" s="1"/>
  <c r="H44" i="9"/>
  <c r="F40" i="9"/>
  <c r="H21" i="9"/>
  <c r="J10" i="9"/>
  <c r="J25" i="9"/>
  <c r="K25" i="9"/>
  <c r="P24" i="29"/>
  <c r="N24" i="29" s="1"/>
  <c r="O24" i="29" s="1"/>
  <c r="J215" i="46"/>
  <c r="K215" i="46"/>
  <c r="C222" i="46"/>
  <c r="C100" i="46"/>
  <c r="H7" i="46"/>
  <c r="I7" i="46"/>
  <c r="I149" i="46"/>
  <c r="J149" i="46" s="1"/>
  <c r="K149" i="46" s="1"/>
  <c r="M10" i="9"/>
  <c r="R9" i="29"/>
  <c r="M7" i="46"/>
  <c r="I100" i="46"/>
  <c r="D35" i="9"/>
  <c r="D149" i="46"/>
  <c r="J48" i="9"/>
  <c r="G30" i="9"/>
  <c r="J150" i="46"/>
  <c r="K150" i="46" s="1"/>
  <c r="G35" i="9"/>
  <c r="J35" i="9"/>
  <c r="F31" i="9"/>
  <c r="F30" i="9"/>
  <c r="F129" i="46"/>
  <c r="F248" i="46" s="1"/>
  <c r="J119" i="46"/>
  <c r="K119" i="46" s="1"/>
  <c r="I34" i="9"/>
  <c r="I129" i="46"/>
  <c r="I31" i="9"/>
  <c r="I30" i="9" s="1"/>
  <c r="G24" i="9"/>
  <c r="G21" i="9"/>
  <c r="G100" i="46"/>
  <c r="F149" i="46"/>
  <c r="H198" i="46"/>
  <c r="H27" i="46"/>
  <c r="I46" i="9"/>
  <c r="I222" i="46"/>
  <c r="J222" i="46" s="1"/>
  <c r="J22" i="9"/>
  <c r="H11" i="9"/>
  <c r="J14" i="9"/>
  <c r="J241" i="46"/>
  <c r="K241" i="46" s="1"/>
  <c r="E49" i="9"/>
  <c r="J49" i="9"/>
  <c r="G222" i="46"/>
  <c r="G248" i="46"/>
  <c r="G46" i="9"/>
  <c r="G44" i="9"/>
  <c r="M39" i="9"/>
  <c r="R38" i="29"/>
  <c r="E39" i="9"/>
  <c r="E149" i="46"/>
  <c r="J190" i="46"/>
  <c r="K190" i="46"/>
  <c r="D34" i="9"/>
  <c r="H33" i="9"/>
  <c r="J33" i="9"/>
  <c r="H129" i="46"/>
  <c r="J26" i="9"/>
  <c r="K26" i="9"/>
  <c r="P25" i="29"/>
  <c r="N25" i="29"/>
  <c r="O25" i="29" s="1"/>
  <c r="E24" i="9"/>
  <c r="J109" i="46"/>
  <c r="K109" i="46"/>
  <c r="J105" i="46"/>
  <c r="K105" i="46"/>
  <c r="F23" i="9"/>
  <c r="J23" i="9"/>
  <c r="K23" i="9" s="1"/>
  <c r="P22" i="29" s="1"/>
  <c r="N22" i="29" s="1"/>
  <c r="O22" i="29" s="1"/>
  <c r="F21" i="9"/>
  <c r="I21" i="9"/>
  <c r="R19" i="29"/>
  <c r="E20" i="9"/>
  <c r="J20" i="9" s="1"/>
  <c r="K20" i="9" s="1"/>
  <c r="P19" i="29" s="1"/>
  <c r="N19" i="29" s="1"/>
  <c r="O19" i="29" s="1"/>
  <c r="J93" i="46"/>
  <c r="K93" i="46" s="1"/>
  <c r="I18" i="9"/>
  <c r="J77" i="46"/>
  <c r="K77" i="46" s="1"/>
  <c r="D14" i="9"/>
  <c r="K14" i="9" s="1"/>
  <c r="P13" i="29" s="1"/>
  <c r="N13" i="29" s="1"/>
  <c r="O13" i="29" s="1"/>
  <c r="F12" i="9"/>
  <c r="F27" i="46"/>
  <c r="J28" i="46"/>
  <c r="G8" i="9"/>
  <c r="J8" i="46"/>
  <c r="J223" i="46"/>
  <c r="K223" i="46" s="1"/>
  <c r="F222" i="46"/>
  <c r="F45" i="9"/>
  <c r="F44" i="9"/>
  <c r="I11" i="9"/>
  <c r="M43" i="9"/>
  <c r="E42" i="9"/>
  <c r="J210" i="46"/>
  <c r="K210" i="46" s="1"/>
  <c r="H40" i="9"/>
  <c r="E41" i="9"/>
  <c r="J199" i="46"/>
  <c r="E198" i="46"/>
  <c r="F13" i="9"/>
  <c r="J13" i="9"/>
  <c r="J50" i="46"/>
  <c r="K50" i="46"/>
  <c r="Q12" i="29"/>
  <c r="E30" i="9"/>
  <c r="C49" i="9"/>
  <c r="K49" i="9"/>
  <c r="P48" i="29"/>
  <c r="N48" i="29"/>
  <c r="E46" i="9"/>
  <c r="E222" i="46"/>
  <c r="J227" i="46"/>
  <c r="K227" i="46" s="1"/>
  <c r="D45" i="9"/>
  <c r="D222" i="46"/>
  <c r="D248" i="46" s="1"/>
  <c r="Q9" i="29"/>
  <c r="I43" i="9"/>
  <c r="J43" i="9" s="1"/>
  <c r="K43" i="9" s="1"/>
  <c r="P42" i="29" s="1"/>
  <c r="N42" i="29" s="1"/>
  <c r="I198" i="46"/>
  <c r="D20" i="9"/>
  <c r="J9" i="9"/>
  <c r="F7" i="9"/>
  <c r="F15" i="9"/>
  <c r="J15" i="9"/>
  <c r="J65" i="46"/>
  <c r="D32" i="9"/>
  <c r="D129" i="46"/>
  <c r="J38" i="9"/>
  <c r="D48" i="9"/>
  <c r="Q45" i="29"/>
  <c r="J37" i="9"/>
  <c r="K37" i="9" s="1"/>
  <c r="P36" i="29" s="1"/>
  <c r="N36" i="29" s="1"/>
  <c r="O36" i="29" s="1"/>
  <c r="M14" i="9"/>
  <c r="M27" i="46"/>
  <c r="G12" i="9"/>
  <c r="G11" i="9"/>
  <c r="G27" i="46"/>
  <c r="K25" i="46"/>
  <c r="D10" i="9"/>
  <c r="D7" i="9"/>
  <c r="E129" i="46"/>
  <c r="D22" i="9"/>
  <c r="D21" i="9" s="1"/>
  <c r="D100" i="46"/>
  <c r="K100" i="46" s="1"/>
  <c r="J114" i="46"/>
  <c r="K114" i="46"/>
  <c r="H248" i="46"/>
  <c r="G34" i="9"/>
  <c r="K10" i="9"/>
  <c r="P9" i="29" s="1"/>
  <c r="N9" i="29" s="1"/>
  <c r="O9" i="29" s="1"/>
  <c r="J46" i="9"/>
  <c r="K46" i="9"/>
  <c r="P45" i="29" s="1"/>
  <c r="N45" i="29" s="1"/>
  <c r="H30" i="9"/>
  <c r="H50" i="9" s="1"/>
  <c r="J31" i="9"/>
  <c r="J30" i="9" s="1"/>
  <c r="J12" i="9"/>
  <c r="J11" i="9" s="1"/>
  <c r="J18" i="9"/>
  <c r="E34" i="9"/>
  <c r="J39" i="9"/>
  <c r="K39" i="9" s="1"/>
  <c r="P38" i="29" s="1"/>
  <c r="N38" i="29" s="1"/>
  <c r="J45" i="9"/>
  <c r="K22" i="9"/>
  <c r="P21" i="29"/>
  <c r="N21" i="29" s="1"/>
  <c r="O21" i="29" s="1"/>
  <c r="E44" i="9"/>
  <c r="R42" i="29"/>
  <c r="D30" i="9"/>
  <c r="J24" i="9"/>
  <c r="K24" i="9"/>
  <c r="P23" i="29" s="1"/>
  <c r="N23" i="29" s="1"/>
  <c r="O23" i="29" s="1"/>
  <c r="E21" i="9"/>
  <c r="J21" i="9"/>
  <c r="I88" i="46"/>
  <c r="I76" i="46"/>
  <c r="I126" i="46" s="1"/>
  <c r="H88" i="46"/>
  <c r="H19" i="9" s="1"/>
  <c r="H17" i="9" s="1"/>
  <c r="H27" i="9" s="1"/>
  <c r="H51" i="9" s="1"/>
  <c r="C88" i="46"/>
  <c r="C19" i="9"/>
  <c r="C17" i="9" s="1"/>
  <c r="G88" i="46"/>
  <c r="G76" i="46" s="1"/>
  <c r="G126" i="46" s="1"/>
  <c r="G249" i="46" s="1"/>
  <c r="M88" i="46"/>
  <c r="M19" i="9" s="1"/>
  <c r="E88" i="46"/>
  <c r="E19" i="9" s="1"/>
  <c r="E17" i="9" s="1"/>
  <c r="E27" i="9" s="1"/>
  <c r="L88" i="46"/>
  <c r="L19" i="9" s="1"/>
  <c r="F88" i="46"/>
  <c r="F76" i="46" s="1"/>
  <c r="F126" i="46" s="1"/>
  <c r="F249" i="46" s="1"/>
  <c r="D88" i="46"/>
  <c r="D19" i="9" s="1"/>
  <c r="D17" i="9" s="1"/>
  <c r="C76" i="46"/>
  <c r="F19" i="9"/>
  <c r="F17" i="9" s="1"/>
  <c r="H76" i="46"/>
  <c r="H126" i="46" s="1"/>
  <c r="H249" i="46" s="1"/>
  <c r="B4" i="50"/>
  <c r="B8" i="50" s="1"/>
  <c r="A1" i="20"/>
  <c r="A1" i="50"/>
  <c r="A1" i="27"/>
  <c r="A1" i="23"/>
  <c r="A1" i="15"/>
  <c r="A1" i="14"/>
  <c r="A1" i="7"/>
  <c r="A1" i="21"/>
  <c r="A1" i="48"/>
  <c r="A1" i="46"/>
  <c r="A1" i="53"/>
  <c r="A1" i="18"/>
  <c r="A1" i="1"/>
  <c r="A1" i="31"/>
  <c r="A1" i="37"/>
  <c r="A1" i="19"/>
  <c r="A1" i="30"/>
  <c r="A1" i="28"/>
  <c r="A1" i="24"/>
  <c r="A1" i="22"/>
  <c r="A1" i="52"/>
  <c r="A1" i="10"/>
  <c r="A1" i="12"/>
  <c r="A1" i="29"/>
  <c r="A1" i="35"/>
  <c r="A1" i="25"/>
  <c r="A1" i="40"/>
  <c r="A1" i="36"/>
  <c r="A1" i="16"/>
  <c r="A1" i="17"/>
  <c r="A1" i="26"/>
  <c r="A1" i="34"/>
  <c r="A1" i="11"/>
  <c r="A1" i="9"/>
  <c r="A1" i="33"/>
  <c r="A1" i="13"/>
  <c r="E91" i="15"/>
  <c r="E123" i="15"/>
  <c r="E122" i="15"/>
  <c r="E56" i="15"/>
  <c r="E118" i="15"/>
  <c r="D169" i="1"/>
  <c r="F50" i="9"/>
  <c r="G40" i="9"/>
  <c r="E76" i="46"/>
  <c r="J88" i="46"/>
  <c r="K88" i="46" s="1"/>
  <c r="J86" i="15"/>
  <c r="K113" i="53"/>
  <c r="K86" i="15" s="1"/>
  <c r="K36" i="9"/>
  <c r="P35" i="29" s="1"/>
  <c r="N35" i="29"/>
  <c r="O35" i="29" s="1"/>
  <c r="J34" i="9"/>
  <c r="K118" i="15"/>
  <c r="D76" i="46"/>
  <c r="I17" i="7"/>
  <c r="J17" i="7" s="1"/>
  <c r="F19" i="7"/>
  <c r="F20" i="7" s="1"/>
  <c r="E119" i="15"/>
  <c r="E24" i="15"/>
  <c r="C118" i="15"/>
  <c r="C24" i="15"/>
  <c r="F11" i="9"/>
  <c r="F27" i="9" s="1"/>
  <c r="F51" i="9" s="1"/>
  <c r="D44" i="9"/>
  <c r="D50" i="9" s="1"/>
  <c r="R13" i="29"/>
  <c r="J7" i="46"/>
  <c r="E126" i="46"/>
  <c r="J56" i="15"/>
  <c r="J120" i="15" s="1"/>
  <c r="J118" i="15"/>
  <c r="J11" i="10"/>
  <c r="G20" i="7"/>
  <c r="F55" i="8"/>
  <c r="E19" i="7"/>
  <c r="E20" i="7" s="1"/>
  <c r="K21" i="9"/>
  <c r="P20" i="29" s="1"/>
  <c r="J129" i="46"/>
  <c r="E248" i="46"/>
  <c r="G7" i="9"/>
  <c r="J8" i="9"/>
  <c r="G50" i="9"/>
  <c r="F17" i="15"/>
  <c r="F104" i="15"/>
  <c r="J89" i="15"/>
  <c r="K121" i="53"/>
  <c r="K89" i="15"/>
  <c r="J28" i="17"/>
  <c r="G19" i="9"/>
  <c r="G17" i="9"/>
  <c r="K18" i="9"/>
  <c r="I19" i="9"/>
  <c r="I17" i="9" s="1"/>
  <c r="I27" i="9" s="1"/>
  <c r="E7" i="15"/>
  <c r="H169" i="1"/>
  <c r="H71" i="15"/>
  <c r="D84" i="15"/>
  <c r="D116" i="15"/>
  <c r="D115" i="15"/>
  <c r="J120" i="52"/>
  <c r="K120" i="52"/>
  <c r="L116" i="15"/>
  <c r="J200" i="15"/>
  <c r="K163" i="1"/>
  <c r="K200" i="15" s="1"/>
  <c r="C23" i="11"/>
  <c r="K21" i="11"/>
  <c r="P19" i="32"/>
  <c r="N19" i="32" s="1"/>
  <c r="K77" i="53"/>
  <c r="K82" i="15" s="1"/>
  <c r="F169" i="52"/>
  <c r="J112" i="52"/>
  <c r="K112" i="52" s="1"/>
  <c r="E81" i="15"/>
  <c r="E71" i="15"/>
  <c r="E108" i="15"/>
  <c r="G56" i="15"/>
  <c r="G118" i="15"/>
  <c r="J36" i="12"/>
  <c r="K28" i="1"/>
  <c r="K175" i="15" s="1"/>
  <c r="J175" i="15"/>
  <c r="C91" i="15"/>
  <c r="J120" i="34"/>
  <c r="G169" i="34"/>
  <c r="Q22" i="32"/>
  <c r="D24" i="15"/>
  <c r="D120" i="15"/>
  <c r="D119" i="15"/>
  <c r="E63" i="15"/>
  <c r="E127" i="15"/>
  <c r="E126" i="15"/>
  <c r="G47" i="7"/>
  <c r="H7" i="14"/>
  <c r="D41" i="11"/>
  <c r="D42" i="11" s="1"/>
  <c r="C29" i="7" s="1"/>
  <c r="R3" i="30"/>
  <c r="K36" i="18"/>
  <c r="K77" i="1"/>
  <c r="K182" i="15" s="1"/>
  <c r="K184" i="15" s="1"/>
  <c r="J182" i="15"/>
  <c r="J184" i="15"/>
  <c r="J29" i="16"/>
  <c r="E68" i="39"/>
  <c r="B68" i="39"/>
  <c r="A276" i="48"/>
  <c r="A35" i="11"/>
  <c r="A17" i="11"/>
  <c r="A15" i="32" s="1"/>
  <c r="A33" i="32" s="1"/>
  <c r="K116" i="1"/>
  <c r="K187" i="15"/>
  <c r="K188" i="15"/>
  <c r="H104" i="15"/>
  <c r="J76" i="52"/>
  <c r="K76" i="52" s="1"/>
  <c r="A16" i="11"/>
  <c r="A14" i="32" s="1"/>
  <c r="A32" i="32" s="1"/>
  <c r="A265" i="48"/>
  <c r="A34" i="11" s="1"/>
  <c r="A307" i="47"/>
  <c r="A37" i="8" s="1"/>
  <c r="A36" i="28" s="1"/>
  <c r="A19" i="8"/>
  <c r="A18" i="28" s="1"/>
  <c r="G7" i="15"/>
  <c r="K163" i="34"/>
  <c r="K36" i="15" s="1"/>
  <c r="J22" i="11"/>
  <c r="K22" i="11"/>
  <c r="P20" i="32" s="1"/>
  <c r="N20" i="32" s="1"/>
  <c r="J32" i="11"/>
  <c r="G41" i="11"/>
  <c r="G42" i="11"/>
  <c r="F29" i="7" s="1"/>
  <c r="A19" i="11"/>
  <c r="A17" i="32"/>
  <c r="A35" i="32"/>
  <c r="A298" i="48"/>
  <c r="A37" i="11" s="1"/>
  <c r="A175" i="47"/>
  <c r="A25" i="8"/>
  <c r="A24" i="28" s="1"/>
  <c r="J67" i="7"/>
  <c r="K77" i="34"/>
  <c r="K18" i="15" s="1"/>
  <c r="K20" i="15" s="1"/>
  <c r="E111" i="15"/>
  <c r="M118" i="15"/>
  <c r="J103" i="27"/>
  <c r="J37" i="8"/>
  <c r="H40" i="8"/>
  <c r="H5" i="22"/>
  <c r="C47" i="7"/>
  <c r="D81" i="15"/>
  <c r="E110" i="15"/>
  <c r="J112" i="1"/>
  <c r="K112" i="1" s="1"/>
  <c r="H51" i="25"/>
  <c r="D8" i="14"/>
  <c r="D10" i="14" s="1"/>
  <c r="C50" i="7" s="1"/>
  <c r="I169" i="52"/>
  <c r="I170" i="15" s="1"/>
  <c r="J14" i="15"/>
  <c r="K14" i="34"/>
  <c r="K9" i="15" s="1"/>
  <c r="J9" i="15"/>
  <c r="Q26" i="28"/>
  <c r="E342" i="47"/>
  <c r="H41" i="11"/>
  <c r="H42" i="11" s="1"/>
  <c r="G29" i="7" s="1"/>
  <c r="D34" i="7"/>
  <c r="J26" i="12"/>
  <c r="K17" i="12"/>
  <c r="J16" i="22" s="1"/>
  <c r="B2" i="39"/>
  <c r="F2" i="22" s="1"/>
  <c r="J252" i="47"/>
  <c r="K252" i="47" s="1"/>
  <c r="K27" i="25"/>
  <c r="E15" i="11"/>
  <c r="J15" i="11" s="1"/>
  <c r="K15" i="11"/>
  <c r="P13" i="32" s="1"/>
  <c r="J85" i="48"/>
  <c r="K85" i="48" s="1"/>
  <c r="J125" i="15"/>
  <c r="R6" i="32"/>
  <c r="R21" i="32" s="1"/>
  <c r="L34" i="7"/>
  <c r="J40" i="11"/>
  <c r="K40" i="11" s="1"/>
  <c r="P38" i="32" s="1"/>
  <c r="N38" i="32" s="1"/>
  <c r="A8" i="48"/>
  <c r="A8" i="11" s="1"/>
  <c r="A6" i="32" s="1"/>
  <c r="A24" i="32"/>
  <c r="G34" i="7"/>
  <c r="F34" i="7"/>
  <c r="A106" i="47"/>
  <c r="E34" i="7"/>
  <c r="D76" i="11"/>
  <c r="D91" i="11" s="1"/>
  <c r="C30" i="7"/>
  <c r="C34" i="7" s="1"/>
  <c r="J13" i="18"/>
  <c r="G14" i="18"/>
  <c r="G10" i="12" s="1"/>
  <c r="G14" i="12"/>
  <c r="J14" i="20" s="1"/>
  <c r="L76" i="11"/>
  <c r="J16" i="11"/>
  <c r="K16" i="11" s="1"/>
  <c r="P14" i="32" s="1"/>
  <c r="N14" i="32" s="1"/>
  <c r="L173" i="48"/>
  <c r="L167" i="15"/>
  <c r="L227" i="15" s="1"/>
  <c r="J37" i="16"/>
  <c r="J38" i="16" s="1"/>
  <c r="K47" i="16"/>
  <c r="M57" i="14"/>
  <c r="M19" i="14" s="1"/>
  <c r="J9" i="14"/>
  <c r="K9" i="14" s="1"/>
  <c r="H7" i="7"/>
  <c r="F29" i="23"/>
  <c r="F49" i="23" s="1"/>
  <c r="F136" i="15"/>
  <c r="F167" i="15"/>
  <c r="E55" i="7" s="1"/>
  <c r="K57" i="14"/>
  <c r="K19" i="14" s="1"/>
  <c r="I19" i="14" s="1"/>
  <c r="J19" i="14"/>
  <c r="G179" i="15"/>
  <c r="G181" i="15" s="1"/>
  <c r="J64" i="1"/>
  <c r="H8" i="52"/>
  <c r="H169" i="52" s="1"/>
  <c r="H170" i="15" s="1"/>
  <c r="D8" i="7"/>
  <c r="D12" i="7" s="1"/>
  <c r="G57" i="16"/>
  <c r="G22" i="17"/>
  <c r="G9" i="10" s="1"/>
  <c r="H184" i="15"/>
  <c r="H171" i="15"/>
  <c r="G58" i="7" s="1"/>
  <c r="D191" i="15"/>
  <c r="E59" i="16"/>
  <c r="J59" i="16" s="1"/>
  <c r="J62" i="16" s="1"/>
  <c r="I61" i="7" s="1"/>
  <c r="J15" i="17"/>
  <c r="H26" i="24"/>
  <c r="H29" i="24"/>
  <c r="H50" i="24" s="1"/>
  <c r="F48" i="27"/>
  <c r="F101" i="27" s="1"/>
  <c r="J45" i="11"/>
  <c r="J154" i="52"/>
  <c r="K154" i="52" s="1"/>
  <c r="C95" i="15"/>
  <c r="C127" i="15" s="1"/>
  <c r="C125" i="15"/>
  <c r="C186" i="15"/>
  <c r="C188" i="15"/>
  <c r="C112" i="1"/>
  <c r="M167" i="15"/>
  <c r="G167" i="15"/>
  <c r="G8" i="52"/>
  <c r="G169" i="52" s="1"/>
  <c r="G170" i="15" s="1"/>
  <c r="E23" i="10"/>
  <c r="J168" i="21"/>
  <c r="J143" i="1"/>
  <c r="G126" i="15"/>
  <c r="H191" i="15"/>
  <c r="F107" i="21"/>
  <c r="M107" i="21"/>
  <c r="K168" i="21"/>
  <c r="J199" i="21"/>
  <c r="L184" i="15"/>
  <c r="F141" i="1"/>
  <c r="F194" i="15"/>
  <c r="F195" i="15" s="1"/>
  <c r="J77" i="52"/>
  <c r="K77" i="52" s="1"/>
  <c r="G61" i="16"/>
  <c r="J61" i="16"/>
  <c r="K61" i="16" s="1"/>
  <c r="K74" i="16"/>
  <c r="L260" i="21"/>
  <c r="M254" i="21"/>
  <c r="M260" i="21" s="1"/>
  <c r="M272" i="21"/>
  <c r="M296" i="21"/>
  <c r="J21" i="17"/>
  <c r="H28" i="17"/>
  <c r="H10" i="10"/>
  <c r="J10" i="10" s="1"/>
  <c r="H58" i="16"/>
  <c r="K73" i="16"/>
  <c r="K70" i="37"/>
  <c r="K48" i="15" s="1"/>
  <c r="H8" i="37"/>
  <c r="K151" i="53"/>
  <c r="K96" i="15" s="1"/>
  <c r="K128" i="15"/>
  <c r="J14" i="37"/>
  <c r="G8" i="37"/>
  <c r="G169" i="37" s="1"/>
  <c r="J138" i="53"/>
  <c r="J92" i="15" s="1"/>
  <c r="J105" i="53"/>
  <c r="J85" i="15" s="1"/>
  <c r="H76" i="53"/>
  <c r="K39" i="53"/>
  <c r="K76" i="15" s="1"/>
  <c r="C59" i="16"/>
  <c r="F16" i="17"/>
  <c r="F8" i="10"/>
  <c r="K51" i="16"/>
  <c r="G81" i="16"/>
  <c r="F62" i="7" s="1"/>
  <c r="H112" i="37"/>
  <c r="J112" i="37"/>
  <c r="J39" i="37"/>
  <c r="J28" i="37"/>
  <c r="J43" i="15"/>
  <c r="J107" i="15" s="1"/>
  <c r="J18" i="37"/>
  <c r="J42" i="15"/>
  <c r="F8" i="37"/>
  <c r="F8" i="53"/>
  <c r="M58" i="16"/>
  <c r="J121" i="37"/>
  <c r="J57" i="15" s="1"/>
  <c r="K28" i="37"/>
  <c r="K43" i="15"/>
  <c r="J116" i="53"/>
  <c r="J87" i="15"/>
  <c r="J119" i="15"/>
  <c r="K105" i="53"/>
  <c r="K85" i="15" s="1"/>
  <c r="K54" i="53"/>
  <c r="K78" i="15" s="1"/>
  <c r="J46" i="53"/>
  <c r="J77" i="15"/>
  <c r="J52" i="16"/>
  <c r="K52" i="16" s="1"/>
  <c r="F60" i="16"/>
  <c r="J163" i="37"/>
  <c r="J68" i="15"/>
  <c r="J132" i="15" s="1"/>
  <c r="K18" i="37"/>
  <c r="K42" i="15" s="1"/>
  <c r="K163" i="53"/>
  <c r="K100" i="15"/>
  <c r="K116" i="53"/>
  <c r="K87" i="15" s="1"/>
  <c r="K88" i="15" s="1"/>
  <c r="K46" i="53"/>
  <c r="K77" i="15"/>
  <c r="M8" i="53"/>
  <c r="M169" i="53" s="1"/>
  <c r="H60" i="16"/>
  <c r="K163" i="37"/>
  <c r="K68" i="15" s="1"/>
  <c r="K132" i="15" s="1"/>
  <c r="J46" i="37"/>
  <c r="J70" i="53"/>
  <c r="J80" i="15" s="1"/>
  <c r="J112" i="15" s="1"/>
  <c r="K14" i="53"/>
  <c r="K73" i="15"/>
  <c r="J53" i="16"/>
  <c r="J75" i="16"/>
  <c r="J81" i="16" s="1"/>
  <c r="I62" i="7" s="1"/>
  <c r="J160" i="37"/>
  <c r="K160" i="37" s="1"/>
  <c r="J138" i="37"/>
  <c r="K138" i="37" s="1"/>
  <c r="K60" i="15" s="1"/>
  <c r="K124" i="15" s="1"/>
  <c r="J133" i="37"/>
  <c r="J58" i="15"/>
  <c r="D76" i="37"/>
  <c r="J54" i="37"/>
  <c r="K54" i="37" s="1"/>
  <c r="K46" i="15" s="1"/>
  <c r="K110" i="15" s="1"/>
  <c r="J46" i="15"/>
  <c r="C8" i="37"/>
  <c r="C169" i="37"/>
  <c r="J18" i="53"/>
  <c r="J74" i="15" s="1"/>
  <c r="J143" i="37"/>
  <c r="H17" i="22"/>
  <c r="J45" i="15"/>
  <c r="K46" i="37"/>
  <c r="K45" i="15" s="1"/>
  <c r="F7" i="15"/>
  <c r="F113" i="15"/>
  <c r="C120" i="15"/>
  <c r="J62" i="15"/>
  <c r="K143" i="37"/>
  <c r="K62" i="15"/>
  <c r="K63" i="15" s="1"/>
  <c r="J59" i="15"/>
  <c r="K39" i="37"/>
  <c r="K44" i="15"/>
  <c r="J44" i="15"/>
  <c r="J108" i="15" s="1"/>
  <c r="G201" i="21"/>
  <c r="J10" i="12"/>
  <c r="J14" i="12" s="1"/>
  <c r="G120" i="15"/>
  <c r="G39" i="15"/>
  <c r="F57" i="7"/>
  <c r="P17" i="29"/>
  <c r="N17" i="29"/>
  <c r="O17" i="29" s="1"/>
  <c r="K67" i="15"/>
  <c r="J67" i="15"/>
  <c r="J60" i="16"/>
  <c r="F62" i="16"/>
  <c r="E61" i="7" s="1"/>
  <c r="K133" i="37"/>
  <c r="K58" i="15"/>
  <c r="J110" i="15"/>
  <c r="D71" i="15"/>
  <c r="C57" i="7" s="1"/>
  <c r="D113" i="15"/>
  <c r="E120" i="15"/>
  <c r="J88" i="15"/>
  <c r="K138" i="53"/>
  <c r="K92" i="15" s="1"/>
  <c r="J194" i="15"/>
  <c r="J195" i="15" s="1"/>
  <c r="K143" i="1"/>
  <c r="K194" i="15" s="1"/>
  <c r="K195" i="15" s="1"/>
  <c r="J57" i="16"/>
  <c r="G62" i="16"/>
  <c r="F61" i="7" s="1"/>
  <c r="H56" i="7"/>
  <c r="H55" i="8"/>
  <c r="H41" i="8"/>
  <c r="I7" i="7"/>
  <c r="J7" i="7" s="1"/>
  <c r="J58" i="16"/>
  <c r="H62" i="16"/>
  <c r="G61" i="7" s="1"/>
  <c r="F227" i="15"/>
  <c r="A16" i="8"/>
  <c r="A15" i="28" s="1"/>
  <c r="A274" i="47"/>
  <c r="A34" i="8"/>
  <c r="A33" i="28" s="1"/>
  <c r="K37" i="8"/>
  <c r="J7" i="9"/>
  <c r="E8" i="7"/>
  <c r="K14" i="37"/>
  <c r="K41" i="15" s="1"/>
  <c r="K105" i="15"/>
  <c r="J41" i="15"/>
  <c r="E62" i="10"/>
  <c r="E54" i="8"/>
  <c r="K55" i="7"/>
  <c r="A1" i="8"/>
  <c r="A1" i="47"/>
  <c r="F170" i="15"/>
  <c r="E56" i="7" s="1"/>
  <c r="J169" i="52"/>
  <c r="J170" i="15" s="1"/>
  <c r="G27" i="9"/>
  <c r="E249" i="46"/>
  <c r="J126" i="46"/>
  <c r="A177" i="48"/>
  <c r="A26" i="11"/>
  <c r="J22" i="17"/>
  <c r="K21" i="17"/>
  <c r="K22" i="17" s="1"/>
  <c r="F56" i="7"/>
  <c r="J16" i="17"/>
  <c r="K15" i="17"/>
  <c r="K16" i="17" s="1"/>
  <c r="K64" i="1"/>
  <c r="K179" i="15"/>
  <c r="J179" i="15"/>
  <c r="J8" i="52"/>
  <c r="G103" i="15"/>
  <c r="G134" i="15"/>
  <c r="H8" i="14"/>
  <c r="H10" i="14" s="1"/>
  <c r="D126" i="46"/>
  <c r="D249" i="46" s="1"/>
  <c r="H14" i="20"/>
  <c r="D37" i="7"/>
  <c r="E27" i="12"/>
  <c r="E44" i="12" s="1"/>
  <c r="E63" i="12" s="1"/>
  <c r="F169" i="37"/>
  <c r="K76" i="37"/>
  <c r="H169" i="37"/>
  <c r="G227" i="15"/>
  <c r="F55" i="7"/>
  <c r="J19" i="18"/>
  <c r="J14" i="18"/>
  <c r="E23" i="11"/>
  <c r="E42" i="11"/>
  <c r="D29" i="7" s="1"/>
  <c r="J105" i="15"/>
  <c r="F169" i="1"/>
  <c r="P36" i="28"/>
  <c r="N36" i="28" s="1"/>
  <c r="O36" i="28" s="1"/>
  <c r="J63" i="15"/>
  <c r="J127" i="15"/>
  <c r="J126" i="15"/>
  <c r="N13" i="32"/>
  <c r="F38" i="7"/>
  <c r="F50" i="7"/>
  <c r="F52" i="7" s="1"/>
  <c r="G21" i="14"/>
  <c r="G38" i="7"/>
  <c r="G50" i="12"/>
  <c r="F41" i="7"/>
  <c r="F42" i="12"/>
  <c r="F21" i="14"/>
  <c r="E50" i="7"/>
  <c r="E52" i="7" s="1"/>
  <c r="F40" i="7"/>
  <c r="G42" i="12"/>
  <c r="E21" i="14"/>
  <c r="D50" i="7"/>
  <c r="E37" i="7"/>
  <c r="F27" i="12"/>
  <c r="F44" i="12" s="1"/>
  <c r="F63" i="12" s="1"/>
  <c r="I14" i="20"/>
  <c r="D52" i="7"/>
  <c r="C8" i="53"/>
  <c r="C169" i="53" s="1"/>
  <c r="C72" i="15"/>
  <c r="C81" i="15" s="1"/>
  <c r="K143" i="52"/>
  <c r="K154" i="1"/>
  <c r="K197" i="15"/>
  <c r="C189" i="15"/>
  <c r="C191" i="15"/>
  <c r="C171" i="15" s="1"/>
  <c r="B58" i="7" s="1"/>
  <c r="K46" i="1"/>
  <c r="K177" i="15"/>
  <c r="C8" i="1"/>
  <c r="C169" i="1"/>
  <c r="C181" i="15"/>
  <c r="C49" i="15"/>
  <c r="C39" i="15"/>
  <c r="C122" i="15"/>
  <c r="K18" i="34"/>
  <c r="K10" i="15" s="1"/>
  <c r="C8" i="34"/>
  <c r="C17" i="15"/>
  <c r="C106" i="15"/>
  <c r="I41" i="28"/>
  <c r="M41" i="28"/>
  <c r="C99" i="27"/>
  <c r="C101" i="27" s="1"/>
  <c r="K81" i="27"/>
  <c r="L81" i="27"/>
  <c r="K31" i="27"/>
  <c r="D31" i="27"/>
  <c r="C30" i="26"/>
  <c r="C57" i="26"/>
  <c r="K30" i="26"/>
  <c r="K57" i="26"/>
  <c r="I25" i="25"/>
  <c r="I27" i="25" s="1"/>
  <c r="C27" i="25"/>
  <c r="C54" i="25" s="1"/>
  <c r="C49" i="23"/>
  <c r="I49" i="23"/>
  <c r="C41" i="12"/>
  <c r="B40" i="7" s="1"/>
  <c r="C36" i="12"/>
  <c r="F14" i="20" s="1"/>
  <c r="L14" i="12"/>
  <c r="L43" i="14"/>
  <c r="K13" i="18"/>
  <c r="C43" i="14"/>
  <c r="K10" i="12"/>
  <c r="J15" i="22" s="1"/>
  <c r="J42" i="22"/>
  <c r="C14" i="12"/>
  <c r="C27" i="12"/>
  <c r="K31" i="10"/>
  <c r="P30" i="30"/>
  <c r="N30" i="30" s="1"/>
  <c r="O30" i="30" s="1"/>
  <c r="B17" i="7"/>
  <c r="F8" i="20"/>
  <c r="B7" i="7"/>
  <c r="K7" i="10"/>
  <c r="P6" i="30" s="1"/>
  <c r="N6" i="30" s="1"/>
  <c r="O6" i="30" s="1"/>
  <c r="K48" i="16"/>
  <c r="K33" i="16"/>
  <c r="K38" i="16"/>
  <c r="C29" i="16"/>
  <c r="K24" i="16"/>
  <c r="K29" i="16"/>
  <c r="K17" i="16"/>
  <c r="K146" i="15"/>
  <c r="K38" i="13"/>
  <c r="C40" i="13"/>
  <c r="C42" i="13" s="1"/>
  <c r="C7" i="14" s="1"/>
  <c r="B37" i="7"/>
  <c r="C342" i="48"/>
  <c r="C343" i="48" s="1"/>
  <c r="C65" i="11"/>
  <c r="C91" i="11" s="1"/>
  <c r="O12" i="33"/>
  <c r="N12" i="33"/>
  <c r="P13" i="30"/>
  <c r="N13" i="30"/>
  <c r="O13" i="30" s="1"/>
  <c r="P12" i="30"/>
  <c r="C44" i="9"/>
  <c r="K45" i="9"/>
  <c r="C40" i="9"/>
  <c r="C198" i="46"/>
  <c r="K199" i="46"/>
  <c r="C149" i="46"/>
  <c r="K187" i="46"/>
  <c r="C34" i="9"/>
  <c r="C129" i="46"/>
  <c r="C31" i="9"/>
  <c r="C30" i="9" s="1"/>
  <c r="C50" i="9" s="1"/>
  <c r="K65" i="46"/>
  <c r="C27" i="46"/>
  <c r="C126" i="46" s="1"/>
  <c r="K27" i="46"/>
  <c r="K28" i="46"/>
  <c r="C12" i="9"/>
  <c r="C9" i="9"/>
  <c r="K9" i="9"/>
  <c r="P8" i="29"/>
  <c r="N8" i="29" s="1"/>
  <c r="O8" i="29" s="1"/>
  <c r="K8" i="9"/>
  <c r="K7" i="9" s="1"/>
  <c r="K8" i="46"/>
  <c r="C7" i="46"/>
  <c r="K208" i="47"/>
  <c r="C340" i="47"/>
  <c r="C40" i="8"/>
  <c r="C41" i="8" s="1"/>
  <c r="K25" i="8"/>
  <c r="P24" i="28" s="1"/>
  <c r="N24" i="28" s="1"/>
  <c r="K175" i="47"/>
  <c r="C172" i="47"/>
  <c r="C22" i="8"/>
  <c r="A10" i="8"/>
  <c r="A9" i="28"/>
  <c r="A208" i="47"/>
  <c r="A28" i="8" s="1"/>
  <c r="A27" i="28" s="1"/>
  <c r="A41" i="48"/>
  <c r="A15" i="11"/>
  <c r="A13" i="32" s="1"/>
  <c r="A31" i="32" s="1"/>
  <c r="A241" i="47"/>
  <c r="A31" i="8"/>
  <c r="A30" i="28" s="1"/>
  <c r="A13" i="8"/>
  <c r="A12" i="28"/>
  <c r="A74" i="48"/>
  <c r="A243" i="48" s="1"/>
  <c r="A32" i="11" s="1"/>
  <c r="A12" i="8"/>
  <c r="A11" i="28"/>
  <c r="A219" i="47"/>
  <c r="A29" i="8"/>
  <c r="A28" i="28" s="1"/>
  <c r="A10" i="11"/>
  <c r="A8" i="32"/>
  <c r="A26" i="32"/>
  <c r="A188" i="48"/>
  <c r="A27" i="11"/>
  <c r="A9" i="11"/>
  <c r="A7" i="32"/>
  <c r="A25" i="32" s="1"/>
  <c r="A18" i="47"/>
  <c r="K19" i="18"/>
  <c r="K14" i="18"/>
  <c r="F13" i="20"/>
  <c r="K43" i="14"/>
  <c r="N12" i="30"/>
  <c r="O12" i="30" s="1"/>
  <c r="P44" i="29"/>
  <c r="N44" i="29" s="1"/>
  <c r="O44" i="29" s="1"/>
  <c r="K31" i="9"/>
  <c r="P30" i="29" s="1"/>
  <c r="N30" i="29" s="1"/>
  <c r="O30" i="29" s="1"/>
  <c r="C11" i="9"/>
  <c r="K12" i="9"/>
  <c r="C7" i="9"/>
  <c r="P7" i="29"/>
  <c r="N7" i="29"/>
  <c r="O7" i="29"/>
  <c r="K7" i="46"/>
  <c r="C342" i="47"/>
  <c r="A11" i="11"/>
  <c r="A9" i="32" s="1"/>
  <c r="A27" i="32" s="1"/>
  <c r="A210" i="48"/>
  <c r="A29" i="11"/>
  <c r="A8" i="8"/>
  <c r="A7" i="28"/>
  <c r="A186" i="47"/>
  <c r="A26" i="8" s="1"/>
  <c r="A25" i="28" s="1"/>
  <c r="P11" i="29"/>
  <c r="N11" i="29"/>
  <c r="O11" i="29" s="1"/>
  <c r="R3" i="29" l="1"/>
  <c r="Q3" i="35"/>
  <c r="M202" i="21"/>
  <c r="K2" i="25"/>
  <c r="M2" i="9"/>
  <c r="M2" i="12"/>
  <c r="K2" i="23"/>
  <c r="B4" i="39"/>
  <c r="B16" i="39"/>
  <c r="B5" i="39"/>
  <c r="B7" i="39"/>
  <c r="B3" i="39"/>
  <c r="B17" i="39"/>
  <c r="J2" i="23" s="1"/>
  <c r="B6" i="39"/>
  <c r="Q3" i="33"/>
  <c r="O247" i="21"/>
  <c r="M2" i="17"/>
  <c r="G109" i="21"/>
  <c r="G63" i="21"/>
  <c r="I2" i="21"/>
  <c r="E2" i="20"/>
  <c r="J2" i="20"/>
  <c r="M2" i="13"/>
  <c r="M2" i="10"/>
  <c r="M2" i="47"/>
  <c r="M2" i="16"/>
  <c r="M2" i="34"/>
  <c r="R3" i="32"/>
  <c r="M2" i="48"/>
  <c r="R3" i="28"/>
  <c r="M156" i="21"/>
  <c r="K2" i="24"/>
  <c r="M110" i="21"/>
  <c r="M2" i="8"/>
  <c r="M2" i="37"/>
  <c r="M2" i="15"/>
  <c r="M2" i="1"/>
  <c r="G155" i="21"/>
  <c r="M2" i="26"/>
  <c r="L2" i="7"/>
  <c r="M2" i="52"/>
  <c r="M2" i="36"/>
  <c r="M2" i="53"/>
  <c r="M2" i="46"/>
  <c r="J66" i="17"/>
  <c r="J68" i="17" s="1"/>
  <c r="I13" i="7"/>
  <c r="M25" i="15"/>
  <c r="M27" i="15" s="1"/>
  <c r="C123" i="15"/>
  <c r="C120" i="34"/>
  <c r="C169" i="34" s="1"/>
  <c r="K34" i="7"/>
  <c r="J188" i="48"/>
  <c r="K188" i="48" s="1"/>
  <c r="K34" i="11"/>
  <c r="P32" i="32" s="1"/>
  <c r="N32" i="32" s="1"/>
  <c r="K33" i="10"/>
  <c r="P32" i="30" s="1"/>
  <c r="N32" i="30" s="1"/>
  <c r="O32" i="30" s="1"/>
  <c r="K122" i="17"/>
  <c r="K128" i="17" s="1"/>
  <c r="D15" i="7"/>
  <c r="I15" i="7" s="1"/>
  <c r="J15" i="7" s="1"/>
  <c r="J29" i="10"/>
  <c r="D37" i="10"/>
  <c r="C19" i="7" s="1"/>
  <c r="K29" i="10"/>
  <c r="P28" i="30" s="1"/>
  <c r="N28" i="30" s="1"/>
  <c r="O28" i="30" s="1"/>
  <c r="C37" i="10"/>
  <c r="L47" i="12"/>
  <c r="L50" i="12" s="1"/>
  <c r="K41" i="7" s="1"/>
  <c r="C47" i="12"/>
  <c r="C50" i="12" s="1"/>
  <c r="K47" i="12"/>
  <c r="K50" i="12" s="1"/>
  <c r="J50" i="12"/>
  <c r="I50" i="12"/>
  <c r="H41" i="7" s="1"/>
  <c r="I41" i="7"/>
  <c r="I63" i="18"/>
  <c r="J39" i="12"/>
  <c r="I41" i="12"/>
  <c r="J17" i="36"/>
  <c r="C170" i="15"/>
  <c r="B56" i="7" s="1"/>
  <c r="C182" i="52"/>
  <c r="K160" i="52"/>
  <c r="J26" i="10"/>
  <c r="E37" i="10"/>
  <c r="E39" i="10" s="1"/>
  <c r="E43" i="10" s="1"/>
  <c r="E45" i="10" s="1"/>
  <c r="E47" i="10" s="1"/>
  <c r="E49" i="10" s="1"/>
  <c r="K18" i="53"/>
  <c r="K74" i="15" s="1"/>
  <c r="K106" i="15" s="1"/>
  <c r="J27" i="12"/>
  <c r="K27" i="12"/>
  <c r="I167" i="15"/>
  <c r="I7" i="14"/>
  <c r="H47" i="7"/>
  <c r="I47" i="7" s="1"/>
  <c r="Q54" i="31"/>
  <c r="Q64" i="31" s="1"/>
  <c r="R52" i="31"/>
  <c r="R54" i="31" s="1"/>
  <c r="R64" i="31" s="1"/>
  <c r="L54" i="31"/>
  <c r="L64" i="31" s="1"/>
  <c r="J63" i="31"/>
  <c r="L63" i="31"/>
  <c r="K54" i="31"/>
  <c r="K64" i="31" s="1"/>
  <c r="J54" i="31"/>
  <c r="J64" i="31" s="1"/>
  <c r="F52" i="31"/>
  <c r="O46" i="31"/>
  <c r="O63" i="31" s="1"/>
  <c r="H54" i="31"/>
  <c r="H64" i="31" s="1"/>
  <c r="G52" i="31"/>
  <c r="G54" i="31" s="1"/>
  <c r="G64" i="31" s="1"/>
  <c r="N46" i="31"/>
  <c r="F54" i="31"/>
  <c r="F64" i="31" s="1"/>
  <c r="C54" i="31"/>
  <c r="C56" i="31" s="1"/>
  <c r="D55" i="31" s="1"/>
  <c r="O21" i="31"/>
  <c r="O33" i="31" s="1"/>
  <c r="N21" i="31"/>
  <c r="N33" i="31" s="1"/>
  <c r="L91" i="11"/>
  <c r="J160" i="1"/>
  <c r="I169" i="1"/>
  <c r="K8" i="1"/>
  <c r="I27" i="12"/>
  <c r="H27" i="12"/>
  <c r="H44" i="12" s="1"/>
  <c r="H63" i="12" s="1"/>
  <c r="G27" i="12"/>
  <c r="G44" i="12" s="1"/>
  <c r="G63" i="12" s="1"/>
  <c r="I248" i="46"/>
  <c r="J248" i="46" s="1"/>
  <c r="M340" i="47"/>
  <c r="K41" i="28"/>
  <c r="K26" i="33"/>
  <c r="L26" i="33"/>
  <c r="M40" i="32"/>
  <c r="H26" i="33"/>
  <c r="I26" i="33"/>
  <c r="D26" i="33"/>
  <c r="E26" i="33"/>
  <c r="I40" i="32"/>
  <c r="K38" i="30"/>
  <c r="K42" i="30" s="1"/>
  <c r="I38" i="30"/>
  <c r="I42" i="30" s="1"/>
  <c r="J41" i="28"/>
  <c r="L41" i="28"/>
  <c r="L49" i="29"/>
  <c r="J49" i="29"/>
  <c r="J54" i="1"/>
  <c r="I181" i="15"/>
  <c r="I171" i="15" s="1"/>
  <c r="I45" i="7"/>
  <c r="J45" i="7" s="1"/>
  <c r="H8" i="20"/>
  <c r="K120" i="34"/>
  <c r="J8" i="34"/>
  <c r="K8" i="34" s="1"/>
  <c r="I169" i="34"/>
  <c r="J17" i="15"/>
  <c r="I17" i="15"/>
  <c r="I7" i="15" s="1"/>
  <c r="K70" i="53"/>
  <c r="K80" i="15" s="1"/>
  <c r="K112" i="15" s="1"/>
  <c r="K9" i="34"/>
  <c r="K8" i="15" s="1"/>
  <c r="M342" i="48"/>
  <c r="M343" i="48" s="1"/>
  <c r="J199" i="48"/>
  <c r="K199" i="48" s="1"/>
  <c r="J254" i="48"/>
  <c r="K254" i="48" s="1"/>
  <c r="J221" i="48"/>
  <c r="K221" i="48" s="1"/>
  <c r="J29" i="11"/>
  <c r="K29" i="11" s="1"/>
  <c r="P27" i="32" s="1"/>
  <c r="N27" i="32" s="1"/>
  <c r="I342" i="48"/>
  <c r="K28" i="11"/>
  <c r="P26" i="32" s="1"/>
  <c r="N26" i="32" s="1"/>
  <c r="J27" i="11"/>
  <c r="K27" i="11" s="1"/>
  <c r="P25" i="32" s="1"/>
  <c r="N25" i="32" s="1"/>
  <c r="I41" i="11"/>
  <c r="I42" i="11" s="1"/>
  <c r="H29" i="7" s="1"/>
  <c r="K55" i="11"/>
  <c r="O16" i="33" s="1"/>
  <c r="N16" i="33" s="1"/>
  <c r="J49" i="11"/>
  <c r="G12" i="22"/>
  <c r="F9" i="20"/>
  <c r="G13" i="22" s="1"/>
  <c r="I65" i="11"/>
  <c r="I91" i="11" s="1"/>
  <c r="J65" i="11"/>
  <c r="K45" i="11"/>
  <c r="O6" i="33" s="1"/>
  <c r="N6" i="33" s="1"/>
  <c r="I33" i="7"/>
  <c r="J72" i="11"/>
  <c r="J76" i="11" s="1"/>
  <c r="K72" i="11"/>
  <c r="H30" i="7"/>
  <c r="K76" i="11"/>
  <c r="I32" i="7"/>
  <c r="J32" i="7" s="1"/>
  <c r="K158" i="17"/>
  <c r="J35" i="10"/>
  <c r="J37" i="10" s="1"/>
  <c r="I37" i="10"/>
  <c r="H19" i="7" s="1"/>
  <c r="H20" i="7" s="1"/>
  <c r="J158" i="17"/>
  <c r="J122" i="17"/>
  <c r="J128" i="17" s="1"/>
  <c r="J241" i="47"/>
  <c r="K241" i="47" s="1"/>
  <c r="I340" i="47"/>
  <c r="J340" i="47" s="1"/>
  <c r="K340" i="47" s="1"/>
  <c r="J31" i="8"/>
  <c r="K31" i="8" s="1"/>
  <c r="P30" i="28" s="1"/>
  <c r="N30" i="28" s="1"/>
  <c r="O30" i="28" s="1"/>
  <c r="I40" i="8"/>
  <c r="I22" i="8"/>
  <c r="J14" i="8"/>
  <c r="K172" i="47"/>
  <c r="I172" i="47"/>
  <c r="J172" i="47" s="1"/>
  <c r="J84" i="47"/>
  <c r="K84" i="47" s="1"/>
  <c r="J76" i="46"/>
  <c r="J19" i="9"/>
  <c r="K129" i="46"/>
  <c r="K32" i="9"/>
  <c r="P31" i="29" s="1"/>
  <c r="N31" i="29" s="1"/>
  <c r="O31" i="29" s="1"/>
  <c r="J198" i="46"/>
  <c r="K198" i="46" s="1"/>
  <c r="I40" i="9"/>
  <c r="I50" i="9" s="1"/>
  <c r="I51" i="9" s="1"/>
  <c r="J42" i="9"/>
  <c r="J40" i="9" s="1"/>
  <c r="I249" i="46"/>
  <c r="J249" i="46" s="1"/>
  <c r="J106" i="15"/>
  <c r="I8" i="53"/>
  <c r="J104" i="15"/>
  <c r="I72" i="15"/>
  <c r="I81" i="15" s="1"/>
  <c r="I71" i="15" s="1"/>
  <c r="K9" i="37"/>
  <c r="K40" i="15" s="1"/>
  <c r="I39" i="15"/>
  <c r="L76" i="52"/>
  <c r="L189" i="15"/>
  <c r="L191" i="15"/>
  <c r="L171" i="15" s="1"/>
  <c r="M120" i="1"/>
  <c r="M184" i="15"/>
  <c r="M76" i="1"/>
  <c r="L8" i="1"/>
  <c r="L169" i="1" s="1"/>
  <c r="M8" i="1"/>
  <c r="M181" i="15"/>
  <c r="L172" i="15"/>
  <c r="L181" i="15" s="1"/>
  <c r="L106" i="15"/>
  <c r="L49" i="15"/>
  <c r="L39" i="15" s="1"/>
  <c r="L57" i="7"/>
  <c r="L8" i="37"/>
  <c r="L169" i="37" s="1"/>
  <c r="L27" i="15"/>
  <c r="L121" i="15"/>
  <c r="L169" i="34"/>
  <c r="M121" i="15"/>
  <c r="L123" i="15"/>
  <c r="L120" i="34"/>
  <c r="M123" i="15"/>
  <c r="M17" i="15"/>
  <c r="M7" i="15" s="1"/>
  <c r="M104" i="15"/>
  <c r="M169" i="34"/>
  <c r="M183" i="37" s="1"/>
  <c r="L8" i="15"/>
  <c r="L30" i="26"/>
  <c r="L57" i="26" s="1"/>
  <c r="M30" i="26"/>
  <c r="M57" i="26" s="1"/>
  <c r="K54" i="25"/>
  <c r="J27" i="25"/>
  <c r="J54" i="25" s="1"/>
  <c r="J49" i="23"/>
  <c r="M41" i="12"/>
  <c r="L40" i="7" s="1"/>
  <c r="L41" i="12"/>
  <c r="K40" i="7" s="1"/>
  <c r="J11" i="20"/>
  <c r="J15" i="20"/>
  <c r="M42" i="12"/>
  <c r="M14" i="12"/>
  <c r="J13" i="20" s="1"/>
  <c r="M43" i="14"/>
  <c r="K15" i="22"/>
  <c r="I8" i="20"/>
  <c r="K17" i="7"/>
  <c r="Q28" i="30"/>
  <c r="K15" i="7"/>
  <c r="Q25" i="30"/>
  <c r="Q36" i="30" s="1"/>
  <c r="L37" i="10"/>
  <c r="I7" i="20" s="1"/>
  <c r="K13" i="7"/>
  <c r="M37" i="10"/>
  <c r="J7" i="20" s="1"/>
  <c r="L13" i="7"/>
  <c r="R20" i="30"/>
  <c r="M81" i="16"/>
  <c r="L62" i="7" s="1"/>
  <c r="Q6" i="30"/>
  <c r="M48" i="16"/>
  <c r="M29" i="16"/>
  <c r="K65" i="7"/>
  <c r="L40" i="13"/>
  <c r="L42" i="13" s="1"/>
  <c r="I23" i="20" s="1"/>
  <c r="M40" i="13"/>
  <c r="M42" i="13" s="1"/>
  <c r="K5" i="22" s="1"/>
  <c r="L39" i="7"/>
  <c r="L27" i="12"/>
  <c r="L37" i="7"/>
  <c r="K37" i="7"/>
  <c r="L41" i="11"/>
  <c r="L42" i="11" s="1"/>
  <c r="K29" i="7" s="1"/>
  <c r="R30" i="32"/>
  <c r="M41" i="11"/>
  <c r="M42" i="11" s="1"/>
  <c r="L29" i="7" s="1"/>
  <c r="Q39" i="32"/>
  <c r="Q40" i="32" s="1"/>
  <c r="L342" i="48"/>
  <c r="L343" i="48" s="1"/>
  <c r="J9" i="20"/>
  <c r="K13" i="22" s="1"/>
  <c r="Q31" i="33"/>
  <c r="P26" i="33"/>
  <c r="P31" i="33" s="1"/>
  <c r="R36" i="30"/>
  <c r="Q39" i="28"/>
  <c r="L40" i="8"/>
  <c r="R24" i="28"/>
  <c r="R39" i="28" s="1"/>
  <c r="M40" i="8"/>
  <c r="L340" i="47"/>
  <c r="M172" i="47"/>
  <c r="L172" i="47"/>
  <c r="L22" i="8"/>
  <c r="M7" i="8"/>
  <c r="R6" i="28" s="1"/>
  <c r="M222" i="46"/>
  <c r="M198" i="46"/>
  <c r="L198" i="46"/>
  <c r="L30" i="9"/>
  <c r="Q29" i="29" s="1"/>
  <c r="M129" i="46"/>
  <c r="L129" i="46"/>
  <c r="R47" i="29"/>
  <c r="M44" i="9"/>
  <c r="R43" i="29" s="1"/>
  <c r="L222" i="46"/>
  <c r="L44" i="9"/>
  <c r="Q43" i="29" s="1"/>
  <c r="L40" i="9"/>
  <c r="Q39" i="29" s="1"/>
  <c r="R40" i="29"/>
  <c r="M40" i="9"/>
  <c r="R39" i="29" s="1"/>
  <c r="Q40" i="29"/>
  <c r="L149" i="46"/>
  <c r="M149" i="46"/>
  <c r="M34" i="9"/>
  <c r="R33" i="29" s="1"/>
  <c r="L34" i="9"/>
  <c r="Q33" i="29" s="1"/>
  <c r="M30" i="9"/>
  <c r="R29" i="29" s="1"/>
  <c r="Q21" i="29"/>
  <c r="L21" i="9"/>
  <c r="Q20" i="29" s="1"/>
  <c r="L100" i="46"/>
  <c r="M100" i="46"/>
  <c r="L76" i="46"/>
  <c r="R14" i="29"/>
  <c r="M11" i="9"/>
  <c r="R10" i="29" s="1"/>
  <c r="L11" i="9"/>
  <c r="Q10" i="29" s="1"/>
  <c r="L27" i="46"/>
  <c r="R7" i="29"/>
  <c r="M7" i="9"/>
  <c r="R6" i="29" s="1"/>
  <c r="L7" i="46"/>
  <c r="E40" i="32"/>
  <c r="H38" i="30"/>
  <c r="H42" i="30" s="1"/>
  <c r="G38" i="30"/>
  <c r="G42" i="30" s="1"/>
  <c r="C38" i="30"/>
  <c r="C42" i="30" s="1"/>
  <c r="M49" i="29"/>
  <c r="I49" i="29"/>
  <c r="K49" i="29"/>
  <c r="K26" i="29"/>
  <c r="J26" i="29"/>
  <c r="J51" i="29" s="1"/>
  <c r="M26" i="29"/>
  <c r="I26" i="29"/>
  <c r="L26" i="29"/>
  <c r="L51" i="29" s="1"/>
  <c r="H26" i="29"/>
  <c r="E49" i="29"/>
  <c r="D49" i="29"/>
  <c r="C49" i="29"/>
  <c r="C51" i="29" s="1"/>
  <c r="F49" i="29"/>
  <c r="F51" i="29" s="1"/>
  <c r="H51" i="29"/>
  <c r="E26" i="29"/>
  <c r="D26" i="29"/>
  <c r="N20" i="29"/>
  <c r="O20" i="29" s="1"/>
  <c r="G26" i="29"/>
  <c r="G41" i="28"/>
  <c r="F41" i="28"/>
  <c r="E41" i="28"/>
  <c r="D41" i="28"/>
  <c r="K17" i="15"/>
  <c r="C205" i="15"/>
  <c r="C113" i="15"/>
  <c r="C71" i="15"/>
  <c r="H21" i="14"/>
  <c r="G50" i="7"/>
  <c r="I8" i="14"/>
  <c r="I10" i="14" s="1"/>
  <c r="H50" i="7" s="1"/>
  <c r="J7" i="14"/>
  <c r="K7" i="14" s="1"/>
  <c r="C183" i="53"/>
  <c r="C183" i="37"/>
  <c r="C183" i="34"/>
  <c r="O24" i="28"/>
  <c r="C134" i="15"/>
  <c r="G18" i="22" s="1"/>
  <c r="P6" i="29"/>
  <c r="C8" i="14"/>
  <c r="C10" i="14" s="1"/>
  <c r="B50" i="7" s="1"/>
  <c r="G56" i="7"/>
  <c r="H202" i="15"/>
  <c r="F8" i="7"/>
  <c r="K76" i="46"/>
  <c r="C248" i="46"/>
  <c r="K248" i="46" s="1"/>
  <c r="C42" i="12"/>
  <c r="C44" i="12" s="1"/>
  <c r="B39" i="7"/>
  <c r="J39" i="7" s="1"/>
  <c r="K75" i="16"/>
  <c r="P56" i="31"/>
  <c r="Q55" i="31" s="1"/>
  <c r="Q56" i="31" s="1"/>
  <c r="R55" i="31" s="1"/>
  <c r="P64" i="31"/>
  <c r="A14" i="11"/>
  <c r="A12" i="32" s="1"/>
  <c r="A30" i="32" s="1"/>
  <c r="H39" i="20"/>
  <c r="I7" i="22" s="1"/>
  <c r="C104" i="15"/>
  <c r="I5" i="22"/>
  <c r="F23" i="20"/>
  <c r="K126" i="46"/>
  <c r="F15" i="20"/>
  <c r="G5" i="22"/>
  <c r="B47" i="7"/>
  <c r="J47" i="7" s="1"/>
  <c r="K114" i="15"/>
  <c r="G51" i="9"/>
  <c r="H20" i="20"/>
  <c r="J60" i="15"/>
  <c r="R22" i="32"/>
  <c r="M113" i="15"/>
  <c r="Q18" i="29"/>
  <c r="L17" i="9"/>
  <c r="K109" i="15"/>
  <c r="L71" i="15"/>
  <c r="H113" i="15"/>
  <c r="H39" i="15"/>
  <c r="G57" i="7" s="1"/>
  <c r="F39" i="15"/>
  <c r="I123" i="15"/>
  <c r="E171" i="15"/>
  <c r="D58" i="7" s="1"/>
  <c r="J44" i="9"/>
  <c r="K47" i="9"/>
  <c r="P46" i="29" s="1"/>
  <c r="N46" i="29" s="1"/>
  <c r="D56" i="7"/>
  <c r="I56" i="7" s="1"/>
  <c r="E202" i="15"/>
  <c r="F71" i="15"/>
  <c r="E39" i="15"/>
  <c r="E113" i="15"/>
  <c r="L120" i="15"/>
  <c r="J20" i="15"/>
  <c r="J114" i="15"/>
  <c r="F39" i="20"/>
  <c r="G7" i="22" s="1"/>
  <c r="F37" i="7"/>
  <c r="I37" i="7" s="1"/>
  <c r="E62" i="16"/>
  <c r="D61" i="7" s="1"/>
  <c r="M17" i="9"/>
  <c r="R16" i="29" s="1"/>
  <c r="R18" i="29"/>
  <c r="K119" i="15"/>
  <c r="K56" i="15"/>
  <c r="K120" i="15" s="1"/>
  <c r="K107" i="15"/>
  <c r="F171" i="15"/>
  <c r="L41" i="8"/>
  <c r="J14" i="11"/>
  <c r="K27" i="8"/>
  <c r="P26" i="28" s="1"/>
  <c r="N26" i="28" s="1"/>
  <c r="O26" i="28" s="1"/>
  <c r="J33" i="7"/>
  <c r="C21" i="9"/>
  <c r="C27" i="9" s="1"/>
  <c r="C51" i="9" s="1"/>
  <c r="K34" i="8"/>
  <c r="P33" i="28" s="1"/>
  <c r="N33" i="28" s="1"/>
  <c r="O33" i="28" s="1"/>
  <c r="K9" i="8"/>
  <c r="P8" i="28" s="1"/>
  <c r="N8" i="28" s="1"/>
  <c r="O8" i="28" s="1"/>
  <c r="K121" i="37"/>
  <c r="K57" i="15" s="1"/>
  <c r="M76" i="46"/>
  <c r="M2" i="14"/>
  <c r="K166" i="34"/>
  <c r="K37" i="15" s="1"/>
  <c r="K133" i="15" s="1"/>
  <c r="R39" i="32"/>
  <c r="R40" i="32" s="1"/>
  <c r="D14" i="12"/>
  <c r="D43" i="14"/>
  <c r="I32" i="24"/>
  <c r="G22" i="8"/>
  <c r="G41" i="8" s="1"/>
  <c r="K26" i="8"/>
  <c r="A18" i="11"/>
  <c r="A16" i="32" s="1"/>
  <c r="A34" i="32" s="1"/>
  <c r="A287" i="48"/>
  <c r="A36" i="11" s="1"/>
  <c r="J22" i="7"/>
  <c r="J14" i="7"/>
  <c r="K16" i="9"/>
  <c r="P15" i="29" s="1"/>
  <c r="N15" i="29" s="1"/>
  <c r="O15" i="29" s="1"/>
  <c r="K35" i="8"/>
  <c r="P34" i="28" s="1"/>
  <c r="N34" i="28" s="1"/>
  <c r="O34" i="28" s="1"/>
  <c r="J33" i="8"/>
  <c r="K33" i="8" s="1"/>
  <c r="P32" i="28" s="1"/>
  <c r="N32" i="28" s="1"/>
  <c r="O32" i="28" s="1"/>
  <c r="K28" i="8"/>
  <c r="P27" i="28" s="1"/>
  <c r="N27" i="28" s="1"/>
  <c r="O27" i="28" s="1"/>
  <c r="Q21" i="28"/>
  <c r="K48" i="9"/>
  <c r="P47" i="29" s="1"/>
  <c r="N47" i="29" s="1"/>
  <c r="K222" i="46"/>
  <c r="L2" i="53"/>
  <c r="L2" i="15"/>
  <c r="F109" i="21"/>
  <c r="R3" i="31"/>
  <c r="K3" i="22"/>
  <c r="M2" i="19"/>
  <c r="J25" i="15"/>
  <c r="R18" i="28"/>
  <c r="K9" i="1"/>
  <c r="K172" i="15" s="1"/>
  <c r="K32" i="11"/>
  <c r="P30" i="32" s="1"/>
  <c r="N30" i="32" s="1"/>
  <c r="K14" i="8"/>
  <c r="P13" i="28" s="1"/>
  <c r="N13" i="28" s="1"/>
  <c r="O13" i="28" s="1"/>
  <c r="I12" i="22"/>
  <c r="E91" i="11"/>
  <c r="J44" i="7"/>
  <c r="J9" i="7"/>
  <c r="K33" i="9"/>
  <c r="K130" i="46"/>
  <c r="K68" i="46"/>
  <c r="K30" i="8"/>
  <c r="P29" i="28" s="1"/>
  <c r="N29" i="28" s="1"/>
  <c r="O29" i="28" s="1"/>
  <c r="K17" i="8"/>
  <c r="P16" i="28" s="1"/>
  <c r="N16" i="28" s="1"/>
  <c r="E40" i="9"/>
  <c r="E50" i="9" s="1"/>
  <c r="E51" i="9" s="1"/>
  <c r="D11" i="9"/>
  <c r="D27" i="9" s="1"/>
  <c r="D51" i="9" s="1"/>
  <c r="K35" i="9"/>
  <c r="K143" i="53"/>
  <c r="K94" i="15" s="1"/>
  <c r="L2" i="47"/>
  <c r="M2" i="18"/>
  <c r="M64" i="21"/>
  <c r="J28" i="15"/>
  <c r="J124" i="15" s="1"/>
  <c r="K191" i="15"/>
  <c r="H27" i="25"/>
  <c r="H54" i="25" s="1"/>
  <c r="C50" i="24"/>
  <c r="A20" i="8"/>
  <c r="A19" i="28" s="1"/>
  <c r="A318" i="47"/>
  <c r="A38" i="8" s="1"/>
  <c r="A37" i="28" s="1"/>
  <c r="J18" i="7"/>
  <c r="J32" i="8"/>
  <c r="K32" i="8" s="1"/>
  <c r="P31" i="28" s="1"/>
  <c r="N31" i="28" s="1"/>
  <c r="O31" i="28" s="1"/>
  <c r="K11" i="8"/>
  <c r="P10" i="28" s="1"/>
  <c r="N10" i="28" s="1"/>
  <c r="O10" i="28" s="1"/>
  <c r="J8" i="8"/>
  <c r="K66" i="17"/>
  <c r="K68" i="17" s="1"/>
  <c r="I14" i="22"/>
  <c r="P39" i="30"/>
  <c r="N39" i="30" s="1"/>
  <c r="J177" i="48"/>
  <c r="K177" i="48" s="1"/>
  <c r="F26" i="11"/>
  <c r="I51" i="25"/>
  <c r="I54" i="25" s="1"/>
  <c r="K33" i="11"/>
  <c r="P31" i="32" s="1"/>
  <c r="N31" i="32" s="1"/>
  <c r="J46" i="7"/>
  <c r="K38" i="9"/>
  <c r="P37" i="29" s="1"/>
  <c r="N37" i="29" s="1"/>
  <c r="O37" i="29" s="1"/>
  <c r="J65" i="7"/>
  <c r="J64" i="7"/>
  <c r="J13" i="7"/>
  <c r="K40" i="12"/>
  <c r="K81" i="16"/>
  <c r="J62" i="7" s="1"/>
  <c r="L36" i="12"/>
  <c r="K65" i="27"/>
  <c r="K32" i="12"/>
  <c r="K26" i="10"/>
  <c r="J38" i="7"/>
  <c r="D27" i="25"/>
  <c r="D54" i="25" s="1"/>
  <c r="K97" i="27"/>
  <c r="L97" i="27" s="1"/>
  <c r="K46" i="27"/>
  <c r="K14" i="27"/>
  <c r="E54" i="31"/>
  <c r="K165" i="17"/>
  <c r="K34" i="12"/>
  <c r="K36" i="12" s="1"/>
  <c r="D54" i="31"/>
  <c r="G122" i="21"/>
  <c r="L180" i="21"/>
  <c r="G199" i="21"/>
  <c r="J214" i="21"/>
  <c r="K59" i="11"/>
  <c r="O20" i="33" s="1"/>
  <c r="N20" i="33" s="1"/>
  <c r="K11" i="46"/>
  <c r="K13" i="9"/>
  <c r="K15" i="9"/>
  <c r="P14" i="29" s="1"/>
  <c r="N14" i="29" s="1"/>
  <c r="O14" i="29" s="1"/>
  <c r="I18" i="14"/>
  <c r="J18" i="14" s="1"/>
  <c r="I39" i="24"/>
  <c r="L85" i="27"/>
  <c r="G49" i="29"/>
  <c r="D227" i="15"/>
  <c r="K55" i="18"/>
  <c r="K63" i="18" s="1"/>
  <c r="M82" i="18" s="1"/>
  <c r="I48" i="27"/>
  <c r="I101" i="27" s="1"/>
  <c r="J189" i="21"/>
  <c r="F214" i="21"/>
  <c r="H8" i="53"/>
  <c r="H169" i="53" s="1"/>
  <c r="E76" i="21"/>
  <c r="D131" i="15"/>
  <c r="G141" i="1"/>
  <c r="J141" i="1" s="1"/>
  <c r="K141" i="1" s="1"/>
  <c r="G194" i="15"/>
  <c r="G196" i="15"/>
  <c r="J151" i="1"/>
  <c r="E88" i="21"/>
  <c r="H97" i="21"/>
  <c r="L97" i="21"/>
  <c r="J107" i="21"/>
  <c r="K49" i="11"/>
  <c r="H112" i="34"/>
  <c r="H169" i="34" s="1"/>
  <c r="J169" i="34" s="1"/>
  <c r="K169" i="34" s="1"/>
  <c r="H22" i="15"/>
  <c r="D33" i="15"/>
  <c r="K154" i="34"/>
  <c r="K33" i="15" s="1"/>
  <c r="H133" i="15"/>
  <c r="M141" i="1"/>
  <c r="M194" i="15"/>
  <c r="K14" i="52"/>
  <c r="C121" i="15"/>
  <c r="F88" i="21"/>
  <c r="I88" i="21"/>
  <c r="M88" i="21"/>
  <c r="I97" i="21"/>
  <c r="M97" i="21"/>
  <c r="K107" i="21"/>
  <c r="C129" i="15"/>
  <c r="K141" i="52"/>
  <c r="G195" i="15"/>
  <c r="G171" i="15" s="1"/>
  <c r="M195" i="15"/>
  <c r="M171" i="15" s="1"/>
  <c r="L120" i="52"/>
  <c r="L169" i="52" s="1"/>
  <c r="J157" i="1"/>
  <c r="M8" i="52"/>
  <c r="M169" i="52" s="1"/>
  <c r="D8" i="52"/>
  <c r="L284" i="21"/>
  <c r="I8" i="37"/>
  <c r="I169" i="37" s="1"/>
  <c r="E8" i="37"/>
  <c r="K9" i="53"/>
  <c r="K72" i="15" s="1"/>
  <c r="D8" i="37"/>
  <c r="I76" i="53"/>
  <c r="J105" i="37"/>
  <c r="J53" i="15" s="1"/>
  <c r="J117" i="15" s="1"/>
  <c r="J141" i="53"/>
  <c r="K141" i="53" s="1"/>
  <c r="F120" i="53"/>
  <c r="J133" i="53"/>
  <c r="E76" i="53"/>
  <c r="J100" i="53"/>
  <c r="I16" i="17"/>
  <c r="I8" i="10" s="1"/>
  <c r="J154" i="37"/>
  <c r="J64" i="37"/>
  <c r="J47" i="15" s="1"/>
  <c r="J49" i="15" s="1"/>
  <c r="J154" i="53"/>
  <c r="E8" i="53"/>
  <c r="H22" i="17"/>
  <c r="H9" i="10" s="1"/>
  <c r="G8" i="7" s="1"/>
  <c r="G12" i="7" s="1"/>
  <c r="G21" i="7" s="1"/>
  <c r="G24" i="7" s="1"/>
  <c r="G26" i="7" s="1"/>
  <c r="K54" i="16"/>
  <c r="D28" i="17"/>
  <c r="D10" i="10" s="1"/>
  <c r="K10" i="10" s="1"/>
  <c r="P9" i="30" s="1"/>
  <c r="N9" i="30" s="1"/>
  <c r="O9" i="30" s="1"/>
  <c r="K157" i="37"/>
  <c r="K66" i="15" s="1"/>
  <c r="D112" i="37"/>
  <c r="K112" i="37" s="1"/>
  <c r="K64" i="37"/>
  <c r="K47" i="15" s="1"/>
  <c r="K49" i="15" s="1"/>
  <c r="J160" i="53"/>
  <c r="J157" i="53"/>
  <c r="G112" i="53"/>
  <c r="J112" i="53" s="1"/>
  <c r="K112" i="53" s="1"/>
  <c r="G76" i="53"/>
  <c r="J54" i="16"/>
  <c r="F81" i="16"/>
  <c r="E62" i="7" s="1"/>
  <c r="J64" i="53"/>
  <c r="G8" i="53"/>
  <c r="K34" i="17"/>
  <c r="K35" i="17" s="1"/>
  <c r="K53" i="16"/>
  <c r="C207" i="15"/>
  <c r="C206" i="15"/>
  <c r="C227" i="15"/>
  <c r="G17" i="22"/>
  <c r="E227" i="15"/>
  <c r="D206" i="15"/>
  <c r="D207" i="15"/>
  <c r="C55" i="7"/>
  <c r="L55" i="7"/>
  <c r="M227" i="15"/>
  <c r="K167" i="15"/>
  <c r="K136" i="15"/>
  <c r="J136" i="15"/>
  <c r="J167" i="15"/>
  <c r="J227" i="15" s="1"/>
  <c r="H13" i="20"/>
  <c r="H15" i="20"/>
  <c r="C63" i="12"/>
  <c r="B41" i="7"/>
  <c r="C82" i="18"/>
  <c r="H23" i="10"/>
  <c r="K50" i="17"/>
  <c r="Q20" i="30"/>
  <c r="K11" i="7"/>
  <c r="E12" i="7"/>
  <c r="H11" i="7"/>
  <c r="I23" i="10"/>
  <c r="G23" i="10"/>
  <c r="F11" i="7"/>
  <c r="F12" i="7" s="1"/>
  <c r="F21" i="7" s="1"/>
  <c r="F24" i="7" s="1"/>
  <c r="F26" i="7" s="1"/>
  <c r="F23" i="10"/>
  <c r="J21" i="10"/>
  <c r="M62" i="16"/>
  <c r="L61" i="7" s="1"/>
  <c r="L60" i="16"/>
  <c r="L62" i="16" s="1"/>
  <c r="K61" i="7" s="1"/>
  <c r="C60" i="16"/>
  <c r="K60" i="16" s="1"/>
  <c r="C35" i="17"/>
  <c r="C11" i="10" s="1"/>
  <c r="K11" i="10" s="1"/>
  <c r="P10" i="30" s="1"/>
  <c r="N10" i="30" s="1"/>
  <c r="O10" i="30" s="1"/>
  <c r="K27" i="17"/>
  <c r="K28" i="17" s="1"/>
  <c r="C58" i="16"/>
  <c r="K58" i="16" s="1"/>
  <c r="H41" i="22"/>
  <c r="H10" i="22" s="1"/>
  <c r="D44" i="14" s="1"/>
  <c r="D38" i="14" s="1"/>
  <c r="D40" i="14" s="1"/>
  <c r="D16" i="14" s="1"/>
  <c r="D20" i="14" s="1"/>
  <c r="D23" i="10"/>
  <c r="H11" i="22"/>
  <c r="H36" i="22"/>
  <c r="H9" i="22" s="1"/>
  <c r="C8" i="7"/>
  <c r="C12" i="7" s="1"/>
  <c r="D62" i="16"/>
  <c r="C61" i="7" s="1"/>
  <c r="K57" i="16"/>
  <c r="C22" i="17"/>
  <c r="C9" i="10" s="1"/>
  <c r="G36" i="22" s="1"/>
  <c r="G9" i="22" s="1"/>
  <c r="L8" i="7"/>
  <c r="L12" i="7" s="1"/>
  <c r="R7" i="30"/>
  <c r="R22" i="30" s="1"/>
  <c r="M23" i="10"/>
  <c r="K41" i="22"/>
  <c r="K10" i="22" s="1"/>
  <c r="M44" i="14" s="1"/>
  <c r="K11" i="22"/>
  <c r="K36" i="22"/>
  <c r="K8" i="7"/>
  <c r="J41" i="22"/>
  <c r="J10" i="22" s="1"/>
  <c r="L44" i="14" s="1"/>
  <c r="L38" i="14" s="1"/>
  <c r="L40" i="14" s="1"/>
  <c r="L16" i="14" s="1"/>
  <c r="L20" i="14" s="1"/>
  <c r="L23" i="10"/>
  <c r="Q7" i="30"/>
  <c r="J11" i="22"/>
  <c r="J36" i="22"/>
  <c r="K37" i="22" s="1"/>
  <c r="K59" i="16"/>
  <c r="I107" i="21"/>
  <c r="E107" i="21"/>
  <c r="H76" i="21"/>
  <c r="K76" i="21"/>
  <c r="L76" i="21"/>
  <c r="K201" i="21" l="1"/>
  <c r="K109" i="21"/>
  <c r="K2" i="21"/>
  <c r="K63" i="21"/>
  <c r="B38" i="39"/>
  <c r="K155" i="21"/>
  <c r="Q3" i="32"/>
  <c r="C2" i="53"/>
  <c r="C2" i="27"/>
  <c r="C2" i="10"/>
  <c r="C2" i="9"/>
  <c r="C2" i="23"/>
  <c r="C2" i="13"/>
  <c r="C2" i="48"/>
  <c r="C2" i="33"/>
  <c r="C2" i="37"/>
  <c r="C2" i="12"/>
  <c r="C2" i="15"/>
  <c r="B2" i="7"/>
  <c r="C2" i="32"/>
  <c r="C2" i="36"/>
  <c r="C2" i="30"/>
  <c r="C2" i="1"/>
  <c r="C2" i="8"/>
  <c r="C2" i="17"/>
  <c r="C2" i="31"/>
  <c r="C2" i="25"/>
  <c r="F2" i="20"/>
  <c r="C2" i="46"/>
  <c r="C2" i="11"/>
  <c r="H109" i="21"/>
  <c r="C2" i="29"/>
  <c r="C2" i="28"/>
  <c r="C2" i="47"/>
  <c r="C2" i="18"/>
  <c r="J2" i="21"/>
  <c r="C2" i="14"/>
  <c r="C2" i="24"/>
  <c r="E247" i="21"/>
  <c r="H63" i="21"/>
  <c r="H155" i="21"/>
  <c r="H201" i="21"/>
  <c r="C2" i="52"/>
  <c r="C2" i="19"/>
  <c r="C2" i="26"/>
  <c r="C2" i="16"/>
  <c r="C2" i="34"/>
  <c r="J2" i="24"/>
  <c r="L2" i="16"/>
  <c r="K2" i="7"/>
  <c r="N247" i="21"/>
  <c r="L2" i="48"/>
  <c r="Q3" i="30"/>
  <c r="J3" i="22"/>
  <c r="L2" i="1"/>
  <c r="Q3" i="31"/>
  <c r="L2" i="37"/>
  <c r="L2" i="12"/>
  <c r="L110" i="21"/>
  <c r="L2" i="9"/>
  <c r="L2" i="34"/>
  <c r="L202" i="21"/>
  <c r="J2" i="25"/>
  <c r="L2" i="8"/>
  <c r="Q3" i="28"/>
  <c r="L2" i="18"/>
  <c r="L2" i="36"/>
  <c r="L2" i="19"/>
  <c r="L2" i="11"/>
  <c r="P3" i="33"/>
  <c r="Q3" i="29"/>
  <c r="I2" i="20"/>
  <c r="L2" i="10"/>
  <c r="L2" i="13"/>
  <c r="L2" i="52"/>
  <c r="L2" i="17"/>
  <c r="L2" i="26"/>
  <c r="L156" i="21"/>
  <c r="O3" i="35"/>
  <c r="L64" i="21"/>
  <c r="L2" i="46"/>
  <c r="P3" i="28"/>
  <c r="O3" i="33"/>
  <c r="K156" i="21"/>
  <c r="P3" i="32"/>
  <c r="K202" i="21"/>
  <c r="M3" i="35"/>
  <c r="P3" i="30"/>
  <c r="P3" i="29"/>
  <c r="P3" i="31"/>
  <c r="K110" i="21"/>
  <c r="K64" i="21"/>
  <c r="L2" i="14"/>
  <c r="F201" i="21"/>
  <c r="H2" i="21"/>
  <c r="D2" i="20"/>
  <c r="F155" i="21"/>
  <c r="E2" i="22"/>
  <c r="F63" i="21"/>
  <c r="D2" i="22"/>
  <c r="G2" i="21"/>
  <c r="E109" i="21"/>
  <c r="E155" i="21"/>
  <c r="C2" i="20"/>
  <c r="E63" i="21"/>
  <c r="E201" i="21"/>
  <c r="C202" i="15"/>
  <c r="L183" i="37"/>
  <c r="G7" i="20"/>
  <c r="D55" i="8"/>
  <c r="F7" i="20"/>
  <c r="C55" i="8"/>
  <c r="B19" i="7"/>
  <c r="B20" i="7" s="1"/>
  <c r="J41" i="7"/>
  <c r="I42" i="12"/>
  <c r="I44" i="12" s="1"/>
  <c r="I63" i="12" s="1"/>
  <c r="H40" i="7"/>
  <c r="I40" i="7" s="1"/>
  <c r="J40" i="7" s="1"/>
  <c r="J41" i="12"/>
  <c r="J42" i="12" s="1"/>
  <c r="J44" i="12" s="1"/>
  <c r="J63" i="12" s="1"/>
  <c r="K39" i="12"/>
  <c r="H11" i="20" s="1"/>
  <c r="E55" i="8"/>
  <c r="D19" i="7"/>
  <c r="D20" i="7" s="1"/>
  <c r="D21" i="7" s="1"/>
  <c r="D24" i="7" s="1"/>
  <c r="D26" i="7" s="1"/>
  <c r="R45" i="32"/>
  <c r="I227" i="15"/>
  <c r="H55" i="7"/>
  <c r="I55" i="7" s="1"/>
  <c r="J55" i="7" s="1"/>
  <c r="R56" i="31"/>
  <c r="O52" i="31"/>
  <c r="O54" i="31" s="1"/>
  <c r="O64" i="31" s="1"/>
  <c r="D56" i="31"/>
  <c r="E55" i="31" s="1"/>
  <c r="N63" i="31"/>
  <c r="N52" i="31"/>
  <c r="N54" i="31" s="1"/>
  <c r="N64" i="31" s="1"/>
  <c r="K160" i="1"/>
  <c r="K199" i="15" s="1"/>
  <c r="J199" i="15"/>
  <c r="K47" i="7"/>
  <c r="L7" i="14"/>
  <c r="L8" i="14" s="1"/>
  <c r="L10" i="14" s="1"/>
  <c r="K50" i="7" s="1"/>
  <c r="J5" i="22"/>
  <c r="I39" i="20"/>
  <c r="J7" i="22" s="1"/>
  <c r="Q22" i="30"/>
  <c r="Q38" i="30" s="1"/>
  <c r="Q42" i="30" s="1"/>
  <c r="M342" i="47"/>
  <c r="Q41" i="28"/>
  <c r="M51" i="29"/>
  <c r="K51" i="29"/>
  <c r="K181" i="15"/>
  <c r="K54" i="1"/>
  <c r="K178" i="15" s="1"/>
  <c r="J178" i="15"/>
  <c r="J181" i="15" s="1"/>
  <c r="H58" i="7"/>
  <c r="I202" i="15"/>
  <c r="J8" i="14"/>
  <c r="K8" i="14" s="1"/>
  <c r="I169" i="53"/>
  <c r="Q45" i="32"/>
  <c r="I343" i="48"/>
  <c r="J343" i="48" s="1"/>
  <c r="K343" i="48" s="1"/>
  <c r="J342" i="48"/>
  <c r="K342" i="48" s="1"/>
  <c r="J91" i="11"/>
  <c r="I30" i="7"/>
  <c r="J30" i="7" s="1"/>
  <c r="H34" i="7"/>
  <c r="I34" i="7" s="1"/>
  <c r="J34" i="7" s="1"/>
  <c r="I55" i="8"/>
  <c r="K35" i="10"/>
  <c r="P34" i="30" s="1"/>
  <c r="N34" i="30" s="1"/>
  <c r="O34" i="30" s="1"/>
  <c r="L55" i="8"/>
  <c r="I41" i="8"/>
  <c r="I342" i="47"/>
  <c r="J342" i="47" s="1"/>
  <c r="K342" i="47" s="1"/>
  <c r="K19" i="9"/>
  <c r="J17" i="9"/>
  <c r="J27" i="9" s="1"/>
  <c r="K42" i="9"/>
  <c r="K40" i="9" s="1"/>
  <c r="P39" i="29" s="1"/>
  <c r="N39" i="29" s="1"/>
  <c r="J50" i="9"/>
  <c r="I113" i="15"/>
  <c r="I104" i="15"/>
  <c r="H57" i="7"/>
  <c r="M169" i="1"/>
  <c r="L183" i="34"/>
  <c r="L183" i="53"/>
  <c r="M183" i="34"/>
  <c r="M183" i="53"/>
  <c r="L104" i="15"/>
  <c r="L17" i="15"/>
  <c r="M134" i="15"/>
  <c r="M103" i="15"/>
  <c r="M38" i="14"/>
  <c r="M40" i="14" s="1"/>
  <c r="M16" i="14" s="1"/>
  <c r="M20" i="14" s="1"/>
  <c r="L51" i="7" s="1"/>
  <c r="M27" i="12"/>
  <c r="M44" i="12" s="1"/>
  <c r="M63" i="12" s="1"/>
  <c r="M55" i="8"/>
  <c r="K19" i="7"/>
  <c r="K20" i="7" s="1"/>
  <c r="L19" i="7"/>
  <c r="L20" i="7" s="1"/>
  <c r="L21" i="7" s="1"/>
  <c r="L24" i="7" s="1"/>
  <c r="L26" i="7" s="1"/>
  <c r="J39" i="20"/>
  <c r="K7" i="22" s="1"/>
  <c r="M7" i="14"/>
  <c r="M8" i="14" s="1"/>
  <c r="L47" i="7"/>
  <c r="J23" i="20"/>
  <c r="R38" i="30"/>
  <c r="R42" i="30" s="1"/>
  <c r="K12" i="7"/>
  <c r="L342" i="47"/>
  <c r="R21" i="28"/>
  <c r="R41" i="28" s="1"/>
  <c r="M22" i="8"/>
  <c r="M41" i="8" s="1"/>
  <c r="M248" i="46"/>
  <c r="L248" i="46"/>
  <c r="R49" i="29"/>
  <c r="M50" i="9"/>
  <c r="Q49" i="29"/>
  <c r="L50" i="9"/>
  <c r="M126" i="46"/>
  <c r="L126" i="46"/>
  <c r="R26" i="29"/>
  <c r="I51" i="29"/>
  <c r="D51" i="29"/>
  <c r="E51" i="29"/>
  <c r="G51" i="29"/>
  <c r="L170" i="15"/>
  <c r="L205" i="15" s="1"/>
  <c r="L182" i="52"/>
  <c r="L58" i="7"/>
  <c r="K17" i="22"/>
  <c r="M206" i="15"/>
  <c r="M207" i="15"/>
  <c r="F58" i="7"/>
  <c r="G202" i="15"/>
  <c r="K160" i="53"/>
  <c r="K99" i="15" s="1"/>
  <c r="K131" i="15" s="1"/>
  <c r="J99" i="15"/>
  <c r="J131" i="15" s="1"/>
  <c r="K154" i="53"/>
  <c r="K97" i="15" s="1"/>
  <c r="J97" i="15"/>
  <c r="K100" i="53"/>
  <c r="K83" i="15" s="1"/>
  <c r="J83" i="15"/>
  <c r="K105" i="37"/>
  <c r="K53" i="15" s="1"/>
  <c r="K117" i="15" s="1"/>
  <c r="E56" i="31"/>
  <c r="F55" i="31" s="1"/>
  <c r="F56" i="31" s="1"/>
  <c r="G55" i="31" s="1"/>
  <c r="G56" i="31" s="1"/>
  <c r="H55" i="31" s="1"/>
  <c r="H56" i="31" s="1"/>
  <c r="I55" i="31" s="1"/>
  <c r="I56" i="31" s="1"/>
  <c r="J55" i="31" s="1"/>
  <c r="J56" i="31" s="1"/>
  <c r="K55" i="31" s="1"/>
  <c r="K56" i="31" s="1"/>
  <c r="L55" i="31" s="1"/>
  <c r="L56" i="31" s="1"/>
  <c r="M55" i="31" s="1"/>
  <c r="M56" i="31" s="1"/>
  <c r="N55" i="31" s="1"/>
  <c r="F41" i="11"/>
  <c r="F42" i="11" s="1"/>
  <c r="E29" i="7" s="1"/>
  <c r="I29" i="7" s="1"/>
  <c r="J29" i="7" s="1"/>
  <c r="J26" i="11"/>
  <c r="P41" i="29"/>
  <c r="N41" i="29" s="1"/>
  <c r="P25" i="28"/>
  <c r="K40" i="8"/>
  <c r="G13" i="20"/>
  <c r="G14" i="20"/>
  <c r="C37" i="7"/>
  <c r="J37" i="7" s="1"/>
  <c r="D27" i="12"/>
  <c r="D44" i="12" s="1"/>
  <c r="D63" i="12" s="1"/>
  <c r="K14" i="11"/>
  <c r="J23" i="11"/>
  <c r="J112" i="34"/>
  <c r="K112" i="34" s="1"/>
  <c r="G169" i="1"/>
  <c r="J169" i="1" s="1"/>
  <c r="K169" i="1" s="1"/>
  <c r="L207" i="15"/>
  <c r="K57" i="7"/>
  <c r="M27" i="9"/>
  <c r="G169" i="53"/>
  <c r="J76" i="53"/>
  <c r="K76" i="53" s="1"/>
  <c r="K104" i="15"/>
  <c r="D169" i="52"/>
  <c r="K8" i="52"/>
  <c r="K65" i="11"/>
  <c r="O10" i="33"/>
  <c r="P12" i="29"/>
  <c r="N12" i="29" s="1"/>
  <c r="O12" i="29" s="1"/>
  <c r="K11" i="9"/>
  <c r="K48" i="27"/>
  <c r="L14" i="27"/>
  <c r="K15" i="27"/>
  <c r="K99" i="27"/>
  <c r="L99" i="27" s="1"/>
  <c r="L65" i="27"/>
  <c r="J22" i="8"/>
  <c r="K8" i="8"/>
  <c r="C20" i="7"/>
  <c r="C21" i="7" s="1"/>
  <c r="C24" i="7" s="1"/>
  <c r="C26" i="7" s="1"/>
  <c r="E58" i="7"/>
  <c r="I58" i="7" s="1"/>
  <c r="J58" i="7" s="1"/>
  <c r="F202" i="15"/>
  <c r="E57" i="7"/>
  <c r="F134" i="15"/>
  <c r="F103" i="15"/>
  <c r="K44" i="9"/>
  <c r="P43" i="29" s="1"/>
  <c r="N43" i="29" s="1"/>
  <c r="O43" i="29" s="1"/>
  <c r="N6" i="29"/>
  <c r="C249" i="46"/>
  <c r="K249" i="46" s="1"/>
  <c r="K64" i="53"/>
  <c r="K79" i="15" s="1"/>
  <c r="K111" i="15" s="1"/>
  <c r="J79" i="15"/>
  <c r="J81" i="15" s="1"/>
  <c r="K154" i="37"/>
  <c r="K65" i="15" s="1"/>
  <c r="K129" i="15" s="1"/>
  <c r="J65" i="15"/>
  <c r="J129" i="15" s="1"/>
  <c r="K133" i="53"/>
  <c r="K90" i="15" s="1"/>
  <c r="J90" i="15"/>
  <c r="E169" i="37"/>
  <c r="J169" i="37" s="1"/>
  <c r="J8" i="37"/>
  <c r="K8" i="37" s="1"/>
  <c r="M182" i="52"/>
  <c r="M170" i="15"/>
  <c r="D129" i="15"/>
  <c r="D7" i="15"/>
  <c r="J196" i="15"/>
  <c r="K151" i="1"/>
  <c r="K196" i="15" s="1"/>
  <c r="K171" i="15" s="1"/>
  <c r="K103" i="27"/>
  <c r="L103" i="27" s="1"/>
  <c r="L46" i="27"/>
  <c r="I15" i="20"/>
  <c r="K39" i="7"/>
  <c r="L42" i="12"/>
  <c r="L44" i="12" s="1"/>
  <c r="L63" i="12" s="1"/>
  <c r="I13" i="20"/>
  <c r="K95" i="15"/>
  <c r="K127" i="15" s="1"/>
  <c r="K126" i="15"/>
  <c r="P32" i="29"/>
  <c r="N32" i="29" s="1"/>
  <c r="O32" i="29" s="1"/>
  <c r="K30" i="9"/>
  <c r="I48" i="24"/>
  <c r="I50" i="24" s="1"/>
  <c r="K59" i="15"/>
  <c r="K39" i="15" s="1"/>
  <c r="K121" i="15"/>
  <c r="J40" i="8"/>
  <c r="J55" i="8" s="1"/>
  <c r="J17" i="22"/>
  <c r="K58" i="7"/>
  <c r="L206" i="15"/>
  <c r="L27" i="9"/>
  <c r="Q16" i="29"/>
  <c r="Q26" i="29" s="1"/>
  <c r="J9" i="10"/>
  <c r="G52" i="7"/>
  <c r="I50" i="7"/>
  <c r="J50" i="7" s="1"/>
  <c r="K157" i="53"/>
  <c r="K98" i="15" s="1"/>
  <c r="K130" i="15" s="1"/>
  <c r="J98" i="15"/>
  <c r="J130" i="15" s="1"/>
  <c r="E169" i="53"/>
  <c r="J8" i="53"/>
  <c r="K8" i="53" s="1"/>
  <c r="H8" i="7"/>
  <c r="H12" i="7" s="1"/>
  <c r="J8" i="10"/>
  <c r="F169" i="53"/>
  <c r="J120" i="53"/>
  <c r="K120" i="53" s="1"/>
  <c r="D169" i="37"/>
  <c r="K157" i="1"/>
  <c r="K198" i="15" s="1"/>
  <c r="J198" i="15"/>
  <c r="H24" i="15"/>
  <c r="H118" i="15"/>
  <c r="P25" i="30"/>
  <c r="K34" i="9"/>
  <c r="P33" i="29" s="1"/>
  <c r="N33" i="29" s="1"/>
  <c r="O33" i="29" s="1"/>
  <c r="P34" i="29"/>
  <c r="N34" i="29" s="1"/>
  <c r="O34" i="29" s="1"/>
  <c r="J27" i="15"/>
  <c r="J121" i="15"/>
  <c r="I103" i="15"/>
  <c r="I134" i="15"/>
  <c r="E103" i="15"/>
  <c r="D57" i="7"/>
  <c r="E134" i="15"/>
  <c r="K10" i="14"/>
  <c r="C103" i="15"/>
  <c r="B57" i="7"/>
  <c r="C204" i="15"/>
  <c r="K7" i="15"/>
  <c r="K227" i="15"/>
  <c r="H39" i="10"/>
  <c r="H43" i="10" s="1"/>
  <c r="H45" i="10" s="1"/>
  <c r="H47" i="10" s="1"/>
  <c r="H49" i="10" s="1"/>
  <c r="H62" i="10"/>
  <c r="H54" i="8" s="1"/>
  <c r="I62" i="10"/>
  <c r="I54" i="8" s="1"/>
  <c r="I39" i="10"/>
  <c r="I43" i="10" s="1"/>
  <c r="I45" i="10" s="1"/>
  <c r="I47" i="10" s="1"/>
  <c r="I49" i="10" s="1"/>
  <c r="G39" i="10"/>
  <c r="G43" i="10" s="1"/>
  <c r="G45" i="10" s="1"/>
  <c r="G47" i="10" s="1"/>
  <c r="G49" i="10" s="1"/>
  <c r="G62" i="10"/>
  <c r="G54" i="8" s="1"/>
  <c r="J23" i="10"/>
  <c r="K21" i="10"/>
  <c r="P20" i="30" s="1"/>
  <c r="N20" i="30" s="1"/>
  <c r="O20" i="30" s="1"/>
  <c r="I11" i="7"/>
  <c r="J11" i="7" s="1"/>
  <c r="F39" i="10"/>
  <c r="F43" i="10" s="1"/>
  <c r="F45" i="10" s="1"/>
  <c r="F47" i="10" s="1"/>
  <c r="F49" i="10" s="1"/>
  <c r="F62" i="10"/>
  <c r="F54" i="8" s="1"/>
  <c r="E21" i="7"/>
  <c r="E24" i="7" s="1"/>
  <c r="K62" i="16"/>
  <c r="J61" i="7" s="1"/>
  <c r="C62" i="16"/>
  <c r="B61" i="7" s="1"/>
  <c r="K9" i="10"/>
  <c r="P8" i="30" s="1"/>
  <c r="G41" i="22"/>
  <c r="G10" i="22" s="1"/>
  <c r="C44" i="14" s="1"/>
  <c r="C38" i="14" s="1"/>
  <c r="C40" i="14" s="1"/>
  <c r="C16" i="14" s="1"/>
  <c r="C20" i="14" s="1"/>
  <c r="C21" i="14" s="1"/>
  <c r="G6" i="22" s="1"/>
  <c r="C51" i="7"/>
  <c r="C52" i="7" s="1"/>
  <c r="D21" i="14"/>
  <c r="H6" i="22" s="1"/>
  <c r="G11" i="22"/>
  <c r="C23" i="10"/>
  <c r="F19" i="20" s="1"/>
  <c r="B8" i="7"/>
  <c r="B12" i="7" s="1"/>
  <c r="G34" i="20"/>
  <c r="D39" i="10"/>
  <c r="D43" i="10" s="1"/>
  <c r="G37" i="20"/>
  <c r="G32" i="20"/>
  <c r="G38" i="20"/>
  <c r="G19" i="20"/>
  <c r="G35" i="20"/>
  <c r="D62" i="10"/>
  <c r="D54" i="8" s="1"/>
  <c r="J37" i="20"/>
  <c r="J34" i="20"/>
  <c r="M39" i="10"/>
  <c r="M43" i="10" s="1"/>
  <c r="J32" i="20"/>
  <c r="J35" i="20"/>
  <c r="J38" i="20"/>
  <c r="J19" i="20"/>
  <c r="M62" i="10"/>
  <c r="M54" i="8" s="1"/>
  <c r="K51" i="7"/>
  <c r="K52" i="7" s="1"/>
  <c r="L21" i="14"/>
  <c r="J6" i="22" s="1"/>
  <c r="K9" i="22"/>
  <c r="I38" i="20"/>
  <c r="I37" i="20"/>
  <c r="I32" i="20"/>
  <c r="I34" i="20"/>
  <c r="I19" i="20"/>
  <c r="L39" i="10"/>
  <c r="L43" i="10" s="1"/>
  <c r="I35" i="20"/>
  <c r="L62" i="10"/>
  <c r="L54" i="8" s="1"/>
  <c r="B21" i="7" l="1"/>
  <c r="B24" i="7" s="1"/>
  <c r="K41" i="12"/>
  <c r="K42" i="12" s="1"/>
  <c r="K44" i="12" s="1"/>
  <c r="K63" i="12" s="1"/>
  <c r="I19" i="7"/>
  <c r="K21" i="7"/>
  <c r="K24" i="7" s="1"/>
  <c r="K26" i="7" s="1"/>
  <c r="N56" i="31"/>
  <c r="J10" i="14"/>
  <c r="R45" i="30"/>
  <c r="I57" i="7"/>
  <c r="J57" i="7" s="1"/>
  <c r="K37" i="10"/>
  <c r="H7" i="20" s="1"/>
  <c r="J51" i="9"/>
  <c r="K17" i="9"/>
  <c r="P16" i="29" s="1"/>
  <c r="N16" i="29" s="1"/>
  <c r="O16" i="29" s="1"/>
  <c r="P18" i="29"/>
  <c r="N18" i="29" s="1"/>
  <c r="O18" i="29" s="1"/>
  <c r="K169" i="37"/>
  <c r="K18" i="22"/>
  <c r="M204" i="15"/>
  <c r="L113" i="15"/>
  <c r="L7" i="15"/>
  <c r="M10" i="14"/>
  <c r="L50" i="7" s="1"/>
  <c r="L52" i="7" s="1"/>
  <c r="M249" i="46"/>
  <c r="L249" i="46"/>
  <c r="R51" i="29"/>
  <c r="L51" i="9"/>
  <c r="Q51" i="29"/>
  <c r="M51" i="9"/>
  <c r="I17" i="22"/>
  <c r="K206" i="15"/>
  <c r="H21" i="7"/>
  <c r="H24" i="7" s="1"/>
  <c r="H26" i="7" s="1"/>
  <c r="I12" i="7"/>
  <c r="N25" i="30"/>
  <c r="P36" i="30"/>
  <c r="J169" i="53"/>
  <c r="K169" i="53" s="1"/>
  <c r="O6" i="29"/>
  <c r="K101" i="27"/>
  <c r="L101" i="27" s="1"/>
  <c r="L48" i="27"/>
  <c r="K91" i="11"/>
  <c r="H9" i="20"/>
  <c r="I13" i="22" s="1"/>
  <c r="K81" i="15"/>
  <c r="P12" i="32"/>
  <c r="K23" i="11"/>
  <c r="K56" i="7"/>
  <c r="L202" i="15"/>
  <c r="K8" i="10"/>
  <c r="P7" i="30" s="1"/>
  <c r="N7" i="30" s="1"/>
  <c r="O7" i="30" s="1"/>
  <c r="I8" i="7"/>
  <c r="K123" i="15"/>
  <c r="M205" i="15"/>
  <c r="M202" i="15"/>
  <c r="L56" i="7"/>
  <c r="J122" i="15"/>
  <c r="J91" i="15"/>
  <c r="J123" i="15" s="1"/>
  <c r="K22" i="8"/>
  <c r="K41" i="8" s="1"/>
  <c r="P7" i="28"/>
  <c r="P10" i="29"/>
  <c r="K27" i="9"/>
  <c r="J41" i="11"/>
  <c r="J42" i="11" s="1"/>
  <c r="O45" i="32" s="1"/>
  <c r="K26" i="11"/>
  <c r="J84" i="15"/>
  <c r="J116" i="15" s="1"/>
  <c r="J115" i="15"/>
  <c r="H120" i="15"/>
  <c r="H7" i="15"/>
  <c r="J171" i="15"/>
  <c r="J202" i="15" s="1"/>
  <c r="K91" i="15"/>
  <c r="K122" i="15"/>
  <c r="J41" i="8"/>
  <c r="N25" i="28"/>
  <c r="P39" i="28"/>
  <c r="K115" i="15"/>
  <c r="K84" i="15"/>
  <c r="K116" i="15" s="1"/>
  <c r="J113" i="15"/>
  <c r="P29" i="29"/>
  <c r="K50" i="9"/>
  <c r="D103" i="15"/>
  <c r="D134" i="15"/>
  <c r="O26" i="33"/>
  <c r="O31" i="33" s="1"/>
  <c r="N10" i="33"/>
  <c r="N26" i="33" s="1"/>
  <c r="D170" i="15"/>
  <c r="K169" i="52"/>
  <c r="K170" i="15" s="1"/>
  <c r="K202" i="15" s="1"/>
  <c r="J111" i="15"/>
  <c r="J7" i="15"/>
  <c r="J39" i="15"/>
  <c r="K23" i="10"/>
  <c r="H38" i="20" s="1"/>
  <c r="E26" i="7"/>
  <c r="J39" i="10"/>
  <c r="J43" i="10" s="1"/>
  <c r="J45" i="10" s="1"/>
  <c r="J47" i="10" s="1"/>
  <c r="J49" i="10" s="1"/>
  <c r="J62" i="10"/>
  <c r="J54" i="8" s="1"/>
  <c r="B51" i="7"/>
  <c r="B52" i="7" s="1"/>
  <c r="F35" i="20"/>
  <c r="C39" i="10"/>
  <c r="C43" i="10" s="1"/>
  <c r="G8" i="22" s="1"/>
  <c r="F37" i="20"/>
  <c r="F34" i="20"/>
  <c r="I36" i="22"/>
  <c r="I11" i="22"/>
  <c r="I41" i="22"/>
  <c r="I10" i="22" s="1"/>
  <c r="K44" i="14" s="1"/>
  <c r="K38" i="14" s="1"/>
  <c r="K40" i="14" s="1"/>
  <c r="K16" i="14" s="1"/>
  <c r="J8" i="7"/>
  <c r="C62" i="10"/>
  <c r="C54" i="8" s="1"/>
  <c r="F38" i="20"/>
  <c r="F32" i="20"/>
  <c r="H8" i="22"/>
  <c r="D45" i="10"/>
  <c r="D47" i="10" s="1"/>
  <c r="D49" i="10" s="1"/>
  <c r="N8" i="30"/>
  <c r="P22" i="30"/>
  <c r="J8" i="22"/>
  <c r="L45" i="10"/>
  <c r="L47" i="10" s="1"/>
  <c r="L49" i="10" s="1"/>
  <c r="Q45" i="30"/>
  <c r="M45" i="10"/>
  <c r="M47" i="10" s="1"/>
  <c r="M49" i="10" s="1"/>
  <c r="K8" i="22"/>
  <c r="B26" i="7"/>
  <c r="C45" i="10" l="1"/>
  <c r="C47" i="10" s="1"/>
  <c r="C49" i="10" s="1"/>
  <c r="I20" i="7"/>
  <c r="I21" i="7" s="1"/>
  <c r="J19" i="7"/>
  <c r="J20" i="7" s="1"/>
  <c r="H35" i="20"/>
  <c r="M21" i="14"/>
  <c r="K6" i="22" s="1"/>
  <c r="I24" i="7"/>
  <c r="I26" i="7" s="1"/>
  <c r="P38" i="30"/>
  <c r="P42" i="30" s="1"/>
  <c r="K55" i="8"/>
  <c r="L134" i="15"/>
  <c r="L103" i="15"/>
  <c r="P21" i="28"/>
  <c r="P41" i="28" s="1"/>
  <c r="N7" i="28"/>
  <c r="O25" i="30"/>
  <c r="O36" i="30" s="1"/>
  <c r="N36" i="30"/>
  <c r="H32" i="20"/>
  <c r="J12" i="7"/>
  <c r="P49" i="29"/>
  <c r="N29" i="29"/>
  <c r="M91" i="11"/>
  <c r="K39" i="10"/>
  <c r="K43" i="10" s="1"/>
  <c r="D204" i="15"/>
  <c r="H18" i="22"/>
  <c r="O25" i="28"/>
  <c r="O39" i="28" s="1"/>
  <c r="N39" i="28"/>
  <c r="K51" i="9"/>
  <c r="J71" i="15"/>
  <c r="J134" i="15" s="1"/>
  <c r="N12" i="32"/>
  <c r="P21" i="32"/>
  <c r="P22" i="32"/>
  <c r="H19" i="20"/>
  <c r="K62" i="10"/>
  <c r="K54" i="8" s="1"/>
  <c r="C56" i="7"/>
  <c r="J56" i="7" s="1"/>
  <c r="D202" i="15"/>
  <c r="D205" i="15"/>
  <c r="H103" i="15"/>
  <c r="H134" i="15"/>
  <c r="P24" i="32"/>
  <c r="K41" i="11"/>
  <c r="K42" i="11" s="1"/>
  <c r="N10" i="29"/>
  <c r="P26" i="29"/>
  <c r="K71" i="15"/>
  <c r="K113" i="15"/>
  <c r="H34" i="20"/>
  <c r="H37" i="20"/>
  <c r="I9" i="22"/>
  <c r="J37" i="22"/>
  <c r="J9" i="22" s="1"/>
  <c r="K20" i="14"/>
  <c r="K21" i="14" s="1"/>
  <c r="I6" i="22" s="1"/>
  <c r="I16" i="14"/>
  <c r="O8" i="30"/>
  <c r="O22" i="30" s="1"/>
  <c r="N22" i="30"/>
  <c r="J21" i="7" l="1"/>
  <c r="P45" i="30"/>
  <c r="J24" i="7"/>
  <c r="J26" i="7" s="1"/>
  <c r="K45" i="10"/>
  <c r="K47" i="10" s="1"/>
  <c r="K49" i="10" s="1"/>
  <c r="I8" i="22"/>
  <c r="J18" i="22"/>
  <c r="L204" i="15"/>
  <c r="N38" i="30"/>
  <c r="N42" i="30" s="1"/>
  <c r="O38" i="30"/>
  <c r="O42" i="30" s="1"/>
  <c r="P51" i="29"/>
  <c r="J103" i="15"/>
  <c r="N24" i="32"/>
  <c r="N39" i="32" s="1"/>
  <c r="P39" i="32"/>
  <c r="P40" i="32" s="1"/>
  <c r="P45" i="32" s="1"/>
  <c r="O10" i="29"/>
  <c r="O26" i="29" s="1"/>
  <c r="N26" i="29"/>
  <c r="N22" i="32"/>
  <c r="N21" i="32"/>
  <c r="N21" i="28"/>
  <c r="N41" i="28" s="1"/>
  <c r="O7" i="28"/>
  <c r="O21" i="28" s="1"/>
  <c r="O41" i="28" s="1"/>
  <c r="K103" i="15"/>
  <c r="K134" i="15"/>
  <c r="I18" i="22" s="1"/>
  <c r="K205" i="15"/>
  <c r="K207" i="15"/>
  <c r="N49" i="29"/>
  <c r="O29" i="29"/>
  <c r="O49" i="29" s="1"/>
  <c r="J16" i="14"/>
  <c r="J20" i="14" s="1"/>
  <c r="J21" i="14" s="1"/>
  <c r="I20" i="14"/>
  <c r="N51" i="29" l="1"/>
  <c r="O51" i="29"/>
  <c r="K204" i="15"/>
  <c r="N40" i="32"/>
  <c r="I21" i="14"/>
  <c r="H51" i="7"/>
  <c r="I51" i="7" l="1"/>
  <c r="H52" i="7"/>
  <c r="I52" i="7" l="1"/>
  <c r="J51" i="7"/>
  <c r="J52" i="7"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<sst xmlns="http://schemas.openxmlformats.org/spreadsheetml/2006/main" count="5938" uniqueCount="2503">
  <si>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</si>
  <si>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</si>
  <si>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</si>
  <si>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</si>
  <si>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</si>
  <si>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</si>
  <si>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</si>
  <si>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</si>
  <si>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</si>
  <si>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</si>
  <si>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</si>
  <si>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</si>
  <si>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</si>
  <si>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</si>
  <si>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</si>
  <si>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</si>
  <si>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</si>
  <si>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</si>
  <si>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</si>
  <si>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</si>
  <si>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</si>
  <si>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</si>
  <si>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</si>
  <si>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</si>
  <si>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</si>
  <si>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</si>
  <si>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</si>
  <si>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</si>
  <si>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</si>
  <si>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</si>
  <si>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</si>
  <si>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</si>
  <si>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</si>
  <si>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</si>
  <si>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</si>
  <si>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</si>
  <si>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</si>
  <si>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</si>
  <si>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</si>
  <si>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</si>
  <si>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</si>
  <si>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</si>
  <si>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</si>
  <si>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</si>
  <si>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</si>
  <si>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</si>
  <si>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</si>
  <si>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</si>
  <si>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</si>
  <si>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</si>
  <si>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</si>
  <si>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</si>
  <si>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</si>
  <si>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</si>
  <si>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</si>
  <si>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</si>
  <si>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</si>
  <si>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</si>
  <si>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</si>
  <si>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</si>
  <si>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</si>
  <si>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</si>
  <si>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</si>
  <si>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</si>
  <si>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</si>
  <si>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</si>
  <si>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</si>
  <si>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</si>
  <si>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</si>
  <si>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</si>
  <si>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</si>
  <si>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</si>
  <si>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</si>
  <si>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</si>
  <si>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</si>
  <si>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</si>
  <si>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</si>
  <si>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</si>
  <si>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</si>
  <si>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</si>
  <si>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</si>
  <si>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</si>
  <si>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</si>
  <si>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</si>
  <si>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</si>
  <si>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</si>
  <si>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</si>
  <si>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</si>
  <si>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</si>
  <si>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</si>
  <si>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</si>
  <si>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</si>
  <si>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</si>
  <si>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</si>
  <si>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</si>
  <si>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</si>
  <si>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</si>
  <si>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</si>
  <si>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</si>
  <si>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</si>
  <si>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</si>
  <si>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</si>
  <si>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</si>
  <si>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</si>
  <si>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</si>
  <si>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</si>
  <si>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</si>
  <si>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</si>
  <si>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</si>
  <si>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</si>
  <si>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</si>
  <si>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</si>
  <si>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</si>
  <si>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</si>
  <si>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</si>
  <si>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</si>
  <si>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</si>
  <si>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</si>
  <si>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</si>
  <si>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</si>
  <si>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</si>
  <si>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</si>
  <si>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</si>
  <si>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</si>
  <si>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</si>
  <si>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</si>
  <si>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</si>
  <si>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</si>
  <si>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</si>
  <si>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</si>
  <si>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</si>
  <si>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</si>
  <si>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</si>
  <si>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</si>
  <si>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</si>
  <si>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</si>
  <si>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</si>
  <si>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</si>
  <si>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</si>
  <si>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</si>
  <si>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</si>
  <si>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</si>
  <si>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</si>
  <si>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</si>
  <si>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</si>
  <si>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</si>
  <si>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</si>
  <si>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</si>
  <si>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</si>
  <si>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</si>
  <si>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</si>
  <si>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</si>
  <si>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</si>
  <si>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</si>
  <si>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</si>
  <si>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</si>
  <si>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</si>
  <si>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</si>
  <si>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</si>
  <si>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</si>
  <si>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</si>
  <si>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</si>
  <si>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</si>
  <si>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</si>
  <si>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</si>
  <si>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</si>
  <si>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</si>
  <si>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</si>
  <si>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</si>
  <si>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</si>
  <si>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</si>
  <si>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</si>
  <si>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</si>
  <si>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</si>
  <si>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</si>
  <si>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</si>
  <si>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</si>
  <si>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</si>
  <si>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</si>
  <si>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</si>
  <si>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</si>
  <si>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</si>
  <si>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</si>
  <si>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</si>
  <si>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</si>
  <si>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</si>
  <si>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</si>
  <si>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</si>
  <si>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</si>
  <si>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</si>
  <si>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</si>
  <si>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</si>
  <si>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</si>
  <si>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</si>
  <si>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</si>
  <si>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</si>
  <si>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</si>
  <si>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</si>
  <si>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</si>
  <si>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</si>
  <si>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</si>
  <si>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</si>
  <si>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</si>
  <si>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</si>
  <si>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</si>
  <si>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</si>
  <si>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</si>
  <si>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</si>
  <si>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</si>
  <si>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</si>
  <si>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</si>
  <si>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</si>
  <si>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</si>
  <si>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</si>
  <si>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</si>
  <si>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</si>
  <si>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</si>
  <si>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</si>
  <si>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</si>
  <si>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</si>
  <si>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</si>
  <si>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</si>
  <si>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</si>
  <si>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</si>
  <si>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</si>
  <si>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</si>
  <si>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</si>
  <si>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</si>
  <si>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</si>
  <si>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</si>
  <si>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</si>
  <si>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</si>
  <si>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</si>
  <si>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</si>
  <si>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</si>
  <si>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</si>
  <si>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</si>
  <si>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</si>
  <si>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</si>
  <si>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</si>
  <si>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</si>
  <si>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</si>
  <si>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</si>
  <si>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</si>
  <si>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</si>
  <si>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</si>
  <si>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</si>
  <si>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</si>
  <si>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</si>
  <si>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</si>
  <si>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</si>
  <si>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</si>
  <si>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</si>
  <si>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</si>
  <si>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</si>
  <si>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</si>
  <si>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</si>
  <si>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</si>
  <si>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</si>
  <si>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</si>
  <si>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</si>
  <si>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</si>
  <si>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</si>
  <si>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</si>
  <si>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</si>
  <si>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</si>
  <si>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</si>
  <si>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</si>
  <si>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</si>
  <si>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</si>
  <si>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</si>
  <si>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</si>
  <si>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</si>
  <si>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</si>
  <si>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</si>
  <si>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</si>
  <si>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</si>
  <si>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</si>
  <si>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</si>
  <si>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</si>
  <si>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</si>
  <si>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</si>
  <si>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</si>
  <si>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</si>
  <si>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</si>
  <si>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</si>
  <si>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</si>
  <si>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</si>
  <si>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</si>
  <si>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</si>
  <si>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</si>
  <si>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</si>
  <si>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</si>
  <si>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</si>
  <si>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</si>
  <si>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</si>
  <si>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</si>
  <si>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</si>
  <si>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</si>
  <si>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</si>
  <si>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</si>
  <si>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</si>
  <si>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</si>
  <si>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</si>
  <si>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</si>
  <si>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</si>
  <si>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</si>
  <si>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</si>
  <si>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</si>
  <si>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</si>
  <si>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</si>
  <si>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</si>
  <si>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</si>
  <si>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</si>
  <si>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</si>
  <si>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</si>
  <si>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</si>
  <si>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</si>
  <si>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</si>
  <si>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</si>
  <si>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</si>
  <si>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</si>
  <si>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</si>
  <si>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</si>
  <si>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</si>
  <si>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</si>
  <si>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</si>
  <si>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</si>
  <si>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</si>
  <si>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</si>
  <si>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</si>
  <si>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</si>
  <si>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</si>
  <si>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</si>
  <si>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</si>
  <si>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</si>
  <si>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</si>
  <si>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</si>
  <si>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</si>
  <si>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</si>
  <si>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</si>
  <si>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</si>
  <si>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</si>
  <si>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</si>
  <si>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</si>
  <si>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</si>
  <si>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</si>
  <si>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</si>
  <si>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</si>
  <si>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</si>
  <si>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</si>
  <si>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</si>
  <si>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</si>
  <si>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</si>
  <si>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</si>
  <si>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</si>
  <si>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</si>
  <si>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</si>
  <si>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</si>
  <si>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</si>
  <si>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</si>
  <si>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</si>
  <si>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</si>
  <si>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</si>
  <si>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</si>
  <si>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</si>
  <si>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</si>
  <si>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</si>
  <si>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</si>
  <si>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</si>
  <si>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</si>
  <si>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</si>
  <si>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</si>
  <si>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</si>
  <si>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</si>
  <si>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</si>
  <si>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</si>
  <si>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</si>
  <si>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</si>
  <si>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</si>
  <si>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</si>
  <si>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</si>
  <si>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</si>
  <si>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</si>
  <si>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</si>
  <si>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</si>
  <si>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</si>
  <si>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</si>
  <si>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</si>
  <si>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</si>
  <si>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</si>
  <si>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</si>
  <si>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</si>
  <si>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</si>
  <si>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</si>
  <si>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</si>
  <si>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</si>
  <si>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</si>
  <si>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</si>
  <si>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</si>
  <si>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</si>
  <si>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</si>
  <si>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</si>
  <si>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</si>
  <si>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</si>
  <si>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</si>
  <si>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</si>
  <si>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</si>
  <si>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</si>
  <si>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</si>
  <si>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</si>
  <si>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</si>
  <si>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</si>
  <si>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</si>
  <si>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</si>
  <si>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</si>
  <si>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</si>
  <si>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</si>
  <si>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</si>
  <si>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</si>
  <si>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</si>
  <si>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</si>
  <si>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</si>
  <si>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</si>
  <si>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</si>
  <si>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</si>
  <si>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</si>
  <si>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</si>
  <si>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</si>
  <si>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</si>
  <si>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</si>
  <si>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</si>
  <si>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</si>
  <si>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</si>
  <si>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</si>
  <si>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</si>
  <si>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</si>
  <si>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</si>
  <si>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</si>
  <si>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</si>
  <si>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</si>
  <si>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</si>
  <si>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</si>
  <si>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</si>
  <si>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</si>
  <si>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</si>
  <si>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</si>
  <si>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</si>
  <si>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</si>
  <si>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</si>
  <si>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</si>
  <si>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</si>
  <si>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</si>
  <si>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</si>
  <si>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Vote 2 -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</si>
  <si>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</si>
  <si>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</si>
  <si>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</si>
  <si>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</si>
  <si>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</si>
  <si>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</si>
  <si>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</si>
  <si>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</si>
  <si>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</si>
  <si>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</si>
  <si>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</si>
  <si>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</si>
  <si>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</si>
  <si>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</si>
  <si>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</si>
  <si>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</si>
  <si>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</si>
  <si>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</si>
  <si>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</si>
  <si>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</si>
  <si>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</si>
  <si>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</si>
  <si>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</si>
  <si>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</si>
  <si>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</si>
  <si>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</si>
  <si>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</si>
  <si>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</si>
  <si>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</si>
  <si>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</si>
  <si>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</si>
  <si>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</si>
  <si>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</si>
  <si>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</si>
  <si>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</si>
  <si>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</si>
  <si>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</si>
  <si>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</si>
  <si>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</si>
  <si>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</si>
  <si>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</si>
  <si>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</si>
  <si>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</si>
  <si>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</si>
  <si>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</si>
  <si>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</si>
  <si>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</si>
  <si>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</si>
  <si>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</si>
  <si>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</si>
  <si>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</si>
  <si>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</si>
  <si>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</si>
  <si>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</si>
  <si>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</si>
  <si>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</si>
  <si>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</si>
  <si>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</si>
  <si>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</si>
  <si>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</si>
  <si>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</si>
  <si>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</si>
  <si>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</si>
  <si>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</si>
  <si>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</si>
  <si>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</si>
  <si>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</si>
  <si>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</si>
  <si>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</si>
  <si>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</si>
  <si>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</si>
  <si>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</si>
  <si>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</si>
  <si>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</si>
  <si>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</si>
  <si>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</si>
  <si>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</si>
  <si>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</si>
  <si>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</si>
  <si>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</si>
  <si>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</si>
  <si>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</si>
  <si>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</si>
  <si>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</si>
  <si>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</si>
  <si>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</si>
  <si>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</si>
  <si>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</si>
  <si>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</si>
  <si>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</si>
  <si>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</si>
  <si>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</si>
  <si>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</si>
  <si>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</si>
  <si>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</si>
  <si>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</si>
  <si>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</si>
  <si>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</si>
  <si>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</si>
  <si>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</si>
  <si>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</si>
  <si>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</si>
  <si>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</si>
  <si>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</si>
  <si>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</si>
  <si>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</si>
  <si>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</si>
  <si>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</si>
  <si>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</si>
  <si>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</si>
  <si>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</si>
  <si>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</si>
  <si>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</si>
  <si>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</si>
  <si>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</si>
  <si>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</si>
  <si>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</si>
  <si>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</si>
  <si>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</si>
  <si>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</si>
  <si>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</si>
  <si>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</si>
  <si>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</si>
  <si>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</si>
  <si>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</si>
  <si>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</si>
  <si>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</si>
  <si>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</si>
  <si>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</si>
  <si>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</si>
  <si>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</si>
  <si>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</si>
  <si>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</si>
  <si>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</si>
  <si>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</si>
  <si>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</si>
  <si>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</si>
  <si>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</si>
  <si>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</si>
  <si>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</si>
  <si>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</si>
  <si>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</si>
  <si>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</si>
  <si>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</si>
  <si>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</si>
  <si>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</si>
  <si>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</si>
  <si>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</si>
  <si>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</si>
  <si>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</si>
  <si>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</si>
  <si>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</si>
  <si>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</si>
  <si>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</si>
  <si>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</si>
  <si>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</si>
  <si>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</si>
  <si>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</si>
  <si>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</si>
  <si>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</si>
  <si>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</si>
  <si>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</si>
  <si>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</si>
  <si>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</si>
  <si>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</si>
  <si>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</si>
  <si>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</si>
  <si>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</si>
  <si>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</si>
  <si>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</si>
  <si>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</si>
  <si>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</si>
  <si>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</si>
  <si>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</si>
  <si>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</si>
  <si>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</si>
  <si>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</si>
  <si>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</si>
  <si>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</si>
  <si>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</si>
  <si>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</si>
  <si>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</si>
  <si>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</si>
  <si>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</si>
  <si>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</si>
  <si>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</si>
  <si>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</si>
  <si>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</si>
  <si>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</si>
  <si>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</si>
  <si>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</si>
  <si>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</si>
  <si>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</si>
  <si>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</si>
  <si>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</si>
  <si>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</si>
  <si>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</si>
  <si>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</si>
  <si>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</si>
  <si>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</si>
  <si>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</si>
  <si>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</si>
  <si>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</si>
  <si>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</si>
  <si>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</si>
  <si>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</si>
  <si>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</si>
  <si>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</si>
  <si>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</si>
  <si>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</si>
  <si>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</si>
  <si>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</si>
  <si>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</si>
  <si>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</si>
  <si>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</si>
  <si>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</si>
  <si>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</si>
  <si>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</si>
  <si>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</si>
  <si>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</si>
  <si>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</si>
  <si>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</si>
  <si>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</si>
  <si>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</si>
  <si>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</si>
  <si>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</si>
  <si>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</si>
  <si>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</si>
  <si>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</si>
  <si>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</si>
  <si>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</si>
  <si>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</si>
  <si>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</si>
  <si>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</si>
  <si>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</si>
  <si>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</si>
  <si>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</si>
  <si>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</si>
  <si>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</si>
  <si>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</si>
  <si>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</si>
  <si>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</si>
  <si>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</si>
  <si>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</si>
  <si>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</si>
  <si>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</si>
  <si>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</si>
  <si>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</si>
  <si>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</si>
  <si>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</si>
  <si>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</si>
  <si>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</si>
  <si>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</si>
  <si>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</si>
  <si>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</si>
  <si>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</si>
  <si>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</si>
  <si>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</si>
  <si>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</si>
  <si>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</si>
  <si>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</si>
  <si>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</si>
  <si>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</si>
  <si>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</si>
  <si>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</si>
  <si>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</si>
  <si>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</si>
  <si>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</si>
  <si>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</si>
  <si>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</si>
  <si>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</si>
  <si>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</si>
  <si>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</si>
  <si>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</si>
  <si>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</si>
  <si>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</si>
  <si>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</si>
  <si>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</si>
  <si>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</si>
  <si>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</si>
  <si>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</si>
  <si>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</si>
  <si>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</si>
  <si>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</si>
  <si>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</si>
  <si>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</si>
  <si>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</si>
  <si>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</si>
  <si>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</si>
  <si>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</si>
  <si>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</si>
  <si>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</si>
  <si>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</si>
  <si>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</si>
  <si>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</si>
  <si>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</si>
  <si>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</si>
  <si>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</si>
  <si>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</si>
  <si>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</si>
  <si>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</si>
  <si>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</si>
  <si>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</si>
  <si>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</si>
  <si>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</si>
  <si>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</si>
  <si>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</si>
  <si>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</si>
  <si>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</si>
  <si>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</si>
  <si>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</si>
  <si>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</si>
  <si>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</si>
  <si>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</si>
  <si>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</si>
  <si>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</si>
  <si>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</si>
  <si>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</si>
  <si>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</si>
  <si>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</si>
  <si>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</si>
  <si>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</si>
  <si>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</si>
  <si>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</si>
  <si>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</si>
  <si>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</si>
  <si>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</si>
  <si>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</si>
  <si>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</si>
  <si>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</si>
  <si>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</si>
  <si>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</si>
  <si>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</si>
  <si>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</si>
  <si>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</si>
  <si>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</si>
  <si>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</si>
  <si>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</si>
  <si>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</si>
  <si>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</si>
  <si>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</si>
  <si>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</si>
  <si>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</si>
  <si>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</si>
  <si>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</si>
  <si>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</si>
  <si>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</si>
  <si>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</si>
  <si>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</si>
  <si>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</si>
  <si>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</si>
  <si>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</si>
  <si>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</si>
  <si>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</si>
  <si>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</si>
  <si>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</si>
  <si>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</si>
  <si>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</si>
  <si>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</si>
  <si>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</si>
  <si>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</si>
  <si>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</si>
  <si>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</si>
  <si>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</si>
  <si>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</si>
  <si>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</si>
  <si>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</si>
  <si>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</si>
  <si>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</si>
  <si>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</si>
  <si>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</si>
  <si>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</si>
  <si>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</si>
  <si>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</si>
  <si>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</si>
  <si>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</si>
  <si>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</si>
  <si>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</si>
  <si>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</si>
  <si>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</si>
  <si>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</si>
  <si>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</si>
  <si>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</si>
  <si>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</si>
  <si>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</si>
  <si>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</si>
  <si>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</si>
  <si>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</si>
  <si>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</si>
  <si>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</si>
  <si>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</si>
  <si>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</si>
  <si>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</si>
  <si>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</si>
  <si>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</si>
  <si>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</si>
  <si>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</si>
  <si>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</si>
  <si>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</si>
  <si>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</si>
  <si>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</si>
  <si>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</si>
  <si>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</si>
  <si>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</si>
  <si>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</si>
  <si>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</si>
  <si>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</si>
  <si>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</si>
  <si>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</si>
  <si>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</si>
  <si>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</si>
  <si>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</si>
  <si>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</si>
  <si>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</si>
  <si>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</si>
  <si>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</si>
  <si>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</si>
  <si>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</si>
  <si>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</si>
  <si>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</si>
  <si>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</si>
  <si>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</si>
  <si>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</si>
  <si>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</si>
  <si>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</si>
  <si>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</si>
  <si>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</si>
  <si>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</si>
  <si>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</si>
  <si>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</si>
  <si>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</si>
  <si>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</si>
  <si>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</si>
  <si>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</si>
  <si>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</si>
  <si>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</si>
  <si>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</si>
  <si>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</si>
  <si>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</si>
  <si>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</si>
  <si>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</si>
  <si>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</si>
  <si>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</si>
  <si>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</si>
  <si>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</si>
  <si>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</si>
  <si>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</si>
  <si>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</si>
  <si>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</si>
  <si>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</si>
  <si>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</si>
  <si>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</si>
  <si>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</si>
  <si>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</si>
  <si>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</si>
  <si>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</si>
  <si>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</si>
  <si>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</si>
  <si>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</si>
  <si>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</si>
  <si>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</si>
  <si>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</si>
  <si>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</si>
  <si>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</si>
  <si>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</si>
  <si>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</si>
  <si>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</si>
  <si>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</si>
  <si>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</si>
  <si>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</si>
  <si>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</si>
  <si>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</si>
  <si>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</si>
  <si>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</si>
  <si>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</si>
  <si>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</si>
  <si>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</si>
  <si>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</si>
  <si>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</si>
  <si>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</si>
  <si>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</si>
  <si>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</si>
  <si>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</si>
  <si>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</si>
  <si>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</si>
  <si>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</si>
  <si>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</si>
  <si>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</si>
  <si>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</si>
  <si>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</si>
  <si>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</si>
  <si>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</si>
  <si>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</si>
  <si>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</si>
  <si>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</si>
  <si>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</si>
  <si>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</si>
  <si>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</si>
  <si>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</si>
  <si>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</si>
  <si>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</si>
  <si>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</si>
  <si>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</si>
  <si>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</si>
  <si>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</si>
  <si>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</si>
  <si>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</si>
  <si>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</si>
  <si>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</si>
  <si>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</si>
  <si>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</si>
  <si>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</si>
  <si>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</si>
  <si>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</si>
  <si>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</si>
  <si>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</si>
  <si>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</si>
  <si>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</si>
  <si>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</si>
  <si>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</si>
  <si>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</si>
  <si>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</si>
  <si>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</si>
  <si>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</si>
  <si>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</si>
  <si>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</si>
  <si>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</si>
  <si>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</si>
  <si>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</si>
  <si>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</si>
  <si>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</si>
  <si>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</si>
  <si>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</si>
  <si>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</si>
  <si>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</si>
  <si>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</si>
  <si>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</si>
  <si>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</si>
  <si>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</si>
  <si>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</si>
  <si>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</si>
  <si>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</si>
  <si>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</si>
  <si>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</si>
  <si>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</si>
  <si>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</si>
  <si>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</si>
  <si>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</si>
  <si>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</si>
  <si>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</si>
  <si>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</si>
  <si>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</si>
  <si>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</si>
  <si>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</si>
  <si>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</si>
  <si>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</si>
  <si>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</si>
  <si>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</si>
  <si>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</si>
  <si>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</si>
  <si>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</si>
  <si>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</si>
  <si>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</si>
  <si>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</si>
  <si>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</si>
  <si>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</si>
  <si>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</si>
  <si>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</si>
  <si>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</si>
  <si>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</si>
  <si>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</si>
  <si>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</si>
  <si>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</si>
  <si>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</si>
  <si>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</si>
  <si>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</si>
  <si>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</si>
  <si>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</si>
  <si>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</si>
  <si>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</si>
  <si>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</si>
  <si>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</si>
  <si>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</si>
  <si>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</si>
  <si>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</si>
  <si>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</si>
  <si>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</si>
  <si>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</si>
  <si>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</si>
  <si>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</si>
  <si>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</si>
  <si>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</si>
  <si>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</si>
  <si>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</si>
  <si>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</si>
  <si>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</si>
  <si>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</si>
  <si>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</si>
  <si>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</si>
  <si>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</si>
  <si>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</si>
  <si>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</si>
  <si>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</si>
  <si>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</si>
  <si>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</si>
  <si>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</si>
  <si>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</si>
  <si>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</si>
  <si>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</si>
  <si>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</si>
  <si>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</si>
  <si>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</si>
  <si>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</si>
  <si>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</si>
  <si>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</si>
  <si>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</si>
  <si>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</si>
  <si>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</si>
  <si>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</si>
  <si>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</si>
  <si>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</si>
  <si>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</si>
  <si>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</si>
  <si>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</si>
  <si>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</si>
  <si>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</si>
  <si>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</si>
  <si>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</si>
  <si>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</si>
  <si>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</si>
  <si>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</si>
  <si>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</si>
  <si>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</si>
  <si>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</si>
  <si>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</si>
  <si>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</si>
  <si>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</si>
  <si>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</si>
  <si>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</si>
  <si>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</si>
  <si>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</si>
  <si>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</si>
  <si>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</si>
  <si>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</si>
  <si>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</si>
  <si>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</si>
  <si>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</si>
  <si>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</si>
  <si>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</si>
  <si>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</si>
  <si>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</si>
  <si>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</si>
  <si>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</si>
  <si>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</si>
  <si>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</si>
  <si>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</si>
  <si>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</si>
  <si>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</si>
  <si>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</si>
  <si>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</si>
  <si>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</si>
  <si>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</si>
  <si>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</si>
  <si>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</si>
  <si>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</si>
  <si>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</si>
  <si>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</si>
  <si>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</si>
  <si>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</si>
  <si>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</si>
  <si>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</si>
  <si>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</si>
  <si>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</si>
  <si>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</si>
  <si>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</si>
  <si>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</si>
  <si>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</si>
  <si>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</si>
  <si>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</si>
  <si>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</si>
  <si>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</si>
  <si>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</si>
  <si>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</si>
  <si>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</si>
  <si>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</si>
  <si>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</si>
  <si>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</si>
  <si>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</si>
  <si>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</si>
  <si>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</si>
  <si>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</si>
  <si>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</si>
  <si>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</si>
  <si>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</si>
  <si>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</si>
  <si>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</si>
  <si>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</si>
  <si>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</si>
  <si>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</si>
  <si>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</si>
  <si>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</si>
  <si>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</si>
  <si>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</si>
  <si>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</si>
  <si>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</si>
  <si>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</si>
  <si>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</si>
  <si>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</si>
  <si>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</si>
  <si>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</si>
  <si>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</si>
  <si>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</si>
  <si>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</si>
  <si>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</si>
  <si>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</si>
  <si>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</si>
  <si>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</si>
  <si>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</si>
  <si>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</si>
  <si>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</si>
  <si>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</si>
  <si>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</si>
  <si>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</si>
  <si>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</si>
  <si>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</si>
  <si>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</si>
  <si>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</si>
  <si>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</si>
  <si>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</si>
  <si>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</si>
  <si>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</si>
  <si>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</si>
  <si>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</si>
  <si>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</si>
  <si>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</si>
  <si>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</si>
  <si>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</si>
  <si>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</si>
  <si>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</si>
  <si>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</si>
  <si>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</si>
  <si>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</si>
  <si>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</si>
  <si>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</si>
  <si>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</si>
  <si>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</si>
  <si>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</si>
  <si>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</si>
  <si>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</si>
  <si>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</si>
  <si>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</si>
  <si>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</si>
  <si>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</si>
  <si>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</si>
  <si>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</si>
  <si>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</si>
  <si>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</si>
  <si>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</si>
  <si>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</si>
  <si>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</si>
  <si>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</si>
  <si>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</si>
  <si>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</si>
  <si>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</si>
  <si>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</si>
  <si>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</si>
  <si>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</si>
  <si>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</si>
  <si>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</si>
  <si>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</si>
  <si>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</si>
  <si>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</si>
  <si>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</si>
  <si>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</si>
  <si>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</si>
  <si>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</si>
  <si>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</si>
  <si>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</si>
  <si>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</si>
  <si>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</si>
  <si>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</si>
  <si>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</si>
  <si>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</si>
  <si>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</si>
  <si>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</si>
  <si>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</si>
  <si>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</si>
  <si>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</si>
  <si>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</si>
  <si>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</si>
  <si>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</si>
  <si>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</si>
  <si>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</si>
  <si>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</si>
  <si>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</si>
  <si>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</si>
  <si>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</si>
  <si>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</si>
  <si>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</si>
  <si>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</si>
  <si>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</si>
  <si>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</si>
  <si>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</si>
  <si>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</si>
  <si>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</si>
  <si>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</si>
  <si>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</si>
  <si>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</si>
  <si>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</si>
  <si>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</si>
  <si>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</si>
  <si>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</si>
  <si>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</si>
  <si>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</si>
  <si>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</si>
  <si>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</si>
  <si>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</si>
  <si>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</si>
  <si>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</si>
  <si>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</si>
  <si>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</si>
  <si>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</si>
  <si>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</si>
  <si>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</si>
  <si>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</si>
  <si>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</si>
  <si>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</si>
  <si>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</si>
  <si>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</si>
  <si>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</si>
  <si>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</si>
  <si>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</si>
  <si>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</si>
  <si>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</si>
  <si>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</si>
  <si>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</si>
  <si>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</si>
  <si>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</si>
  <si>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</si>
  <si>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</si>
  <si>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</si>
  <si>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</si>
  <si>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</si>
  <si>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</si>
  <si>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</si>
  <si>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</si>
  <si>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</si>
  <si>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</si>
  <si>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</si>
  <si>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</si>
  <si>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</si>
  <si>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</si>
  <si>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</si>
  <si>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</si>
  <si>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</si>
  <si>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</si>
  <si>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</si>
  <si>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</si>
  <si>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</si>
  <si>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</si>
  <si>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</si>
  <si>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</si>
  <si>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</si>
  <si>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</si>
  <si>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</si>
  <si>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</si>
  <si>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</si>
  <si>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</si>
  <si>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</si>
  <si>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</si>
  <si>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</si>
  <si>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</si>
  <si>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</si>
  <si>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</si>
  <si>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</si>
  <si>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</si>
  <si>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</si>
  <si>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</si>
  <si>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</si>
  <si>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</si>
  <si>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</si>
  <si>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</si>
  <si>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</si>
  <si>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</si>
  <si>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</si>
  <si>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</si>
  <si>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</si>
  <si>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</si>
  <si>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</si>
  <si>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</si>
  <si>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</si>
  <si>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</si>
  <si>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</si>
  <si>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</si>
  <si>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</si>
  <si>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</si>
  <si>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</si>
  <si>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</si>
  <si>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</si>
  <si>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</si>
  <si>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</si>
  <si>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</si>
  <si>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</si>
  <si>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</si>
  <si>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</si>
  <si>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</si>
  <si>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</si>
  <si>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</si>
  <si>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</si>
  <si>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</si>
  <si>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</si>
  <si>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</si>
  <si>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</si>
  <si>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</si>
  <si>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</si>
  <si>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</si>
  <si>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</si>
  <si>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</si>
  <si>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</si>
  <si>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</si>
  <si>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</si>
  <si>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</si>
  <si>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</si>
  <si>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</si>
  <si>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</si>
  <si>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</si>
  <si>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</si>
  <si>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</si>
  <si>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</si>
  <si>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</si>
  <si>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</si>
  <si>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</si>
  <si>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</si>
  <si>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</si>
  <si>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</si>
  <si>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</si>
  <si>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</si>
  <si>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</si>
  <si>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</si>
  <si>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</si>
  <si>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</si>
  <si>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</si>
  <si>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</si>
  <si>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</si>
  <si>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</si>
  <si>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</si>
  <si>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</si>
  <si>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</si>
  <si>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</si>
  <si>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</si>
  <si>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</si>
  <si>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</si>
  <si>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</si>
  <si>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</si>
  <si>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</si>
  <si>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</si>
  <si>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</si>
  <si>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</si>
  <si>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</si>
  <si>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</si>
  <si>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</si>
  <si>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</si>
  <si>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</si>
  <si>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</si>
  <si>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</si>
  <si>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</si>
  <si>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</si>
  <si>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</si>
  <si>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</si>
  <si>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</si>
  <si>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</si>
  <si>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</si>
  <si>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</si>
  <si>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</si>
  <si>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</si>
  <si>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</si>
  <si>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</si>
  <si>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</si>
  <si>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</si>
  <si>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</si>
  <si>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</si>
  <si>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</si>
  <si>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</si>
  <si>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</si>
  <si>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</si>
  <si>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</si>
  <si>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</si>
  <si>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</si>
  <si>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</si>
  <si>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</si>
  <si>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</si>
  <si>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</si>
  <si>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</si>
  <si>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</si>
  <si>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</si>
  <si>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</si>
  <si>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</si>
  <si>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</si>
  <si>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</si>
  <si>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</si>
  <si>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</si>
  <si>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</si>
  <si>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</si>
  <si>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</si>
  <si>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</si>
  <si>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</si>
  <si>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</si>
  <si>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</si>
  <si>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</si>
  <si>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</si>
  <si>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</si>
  <si>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</si>
  <si>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</si>
  <si>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</si>
  <si>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</si>
  <si>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</si>
  <si>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</si>
  <si>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</si>
  <si>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</si>
  <si>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</si>
  <si>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</si>
  <si>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</si>
  <si>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</si>
  <si>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</si>
  <si>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</si>
  <si>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</si>
  <si>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</si>
  <si>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</si>
  <si>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</si>
  <si>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</si>
  <si>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</si>
  <si>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</si>
  <si>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</si>
  <si>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</si>
  <si>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</si>
  <si>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</si>
  <si>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</si>
  <si>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</si>
  <si>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</si>
  <si>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</si>
  <si>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</si>
  <si>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</si>
  <si>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</si>
  <si>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</si>
  <si>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</si>
  <si>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</si>
  <si>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</si>
  <si>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</si>
  <si>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</si>
  <si>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</si>
  <si>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</si>
  <si>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</si>
  <si>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</si>
  <si>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</si>
  <si>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</si>
  <si>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</si>
  <si>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</si>
  <si>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</si>
  <si>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</si>
  <si>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</si>
  <si>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</si>
  <si>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</si>
  <si>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</si>
  <si>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</si>
  <si>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</si>
  <si>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</si>
  <si>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</si>
  <si>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</si>
  <si>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</si>
  <si>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</si>
  <si>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</si>
  <si>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</si>
  <si>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</si>
  <si>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</si>
  <si>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</si>
  <si>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</si>
  <si>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</si>
  <si>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</si>
  <si>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</si>
  <si>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</si>
  <si>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</si>
  <si>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</si>
  <si>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</si>
  <si>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</si>
  <si>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</si>
  <si>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</si>
  <si>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</si>
  <si>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</si>
  <si>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</si>
  <si>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</si>
  <si>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</si>
  <si>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</si>
  <si>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</si>
  <si>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</si>
  <si>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</si>
  <si>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</si>
  <si>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</si>
  <si>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</si>
  <si>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</si>
  <si>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</si>
  <si>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</si>
  <si>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</si>
  <si>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</si>
  <si>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</si>
  <si>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</si>
  <si>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</si>
  <si>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</si>
  <si>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</si>
  <si>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</si>
  <si>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</si>
  <si>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</si>
  <si>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</si>
  <si>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</si>
  <si>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</si>
  <si>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</si>
  <si>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</si>
  <si>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</si>
  <si>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</si>
  <si>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</si>
  <si>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</si>
  <si>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</si>
  <si>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</si>
  <si>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</si>
  <si>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</si>
  <si>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</si>
  <si>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</si>
  <si>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</si>
  <si>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</si>
  <si>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</si>
  <si>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</si>
  <si>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</si>
  <si>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</si>
  <si>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</si>
  <si>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</si>
  <si>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</si>
  <si>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</si>
  <si>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</si>
  <si>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</si>
  <si>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</si>
  <si>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</si>
  <si>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</si>
  <si>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</si>
  <si>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</si>
  <si>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</si>
  <si>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</si>
  <si>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</si>
  <si>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</si>
  <si>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</si>
  <si>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</si>
  <si>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</si>
  <si>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</si>
  <si>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</si>
  <si>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</si>
  <si>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</si>
  <si>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</si>
  <si>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</si>
  <si>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</si>
  <si>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</si>
  <si>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</si>
  <si>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</si>
  <si>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</si>
  <si>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</si>
  <si>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</si>
  <si>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</si>
  <si>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</si>
  <si>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</si>
  <si>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</si>
  <si>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</si>
  <si>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</si>
  <si>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</si>
  <si>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</si>
  <si>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</si>
  <si>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</si>
  <si>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</si>
  <si>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</si>
  <si>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</si>
  <si>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</si>
  <si>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</si>
  <si>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</si>
  <si>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</si>
  <si>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</si>
  <si>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</si>
  <si>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</si>
  <si>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</si>
  <si>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</si>
  <si>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</si>
  <si>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</si>
  <si>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</si>
  <si>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</si>
  <si>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</si>
  <si>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</si>
  <si>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</si>
  <si>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</si>
  <si>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</si>
  <si>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</si>
  <si>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</si>
  <si>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</si>
  <si>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</si>
  <si>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</si>
  <si>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</si>
  <si>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</si>
  <si>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</si>
  <si>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</si>
  <si>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</si>
  <si>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</si>
  <si>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</si>
  <si>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</si>
  <si>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</si>
  <si>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</si>
  <si>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</si>
  <si>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</si>
  <si>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</si>
  <si>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</si>
  <si>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</si>
  <si>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</si>
  <si>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</si>
  <si>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</si>
  <si>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</si>
  <si>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</si>
  <si>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</si>
  <si>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</si>
  <si>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</si>
  <si>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</si>
  <si>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</si>
  <si>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</si>
  <si>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</si>
  <si>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</si>
  <si>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</si>
  <si>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</si>
  <si>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</si>
  <si>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</si>
  <si>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</si>
  <si>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</si>
  <si>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</si>
  <si>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</si>
  <si>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</si>
  <si>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</si>
  <si>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</si>
  <si>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</si>
  <si>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</si>
  <si>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</si>
  <si>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</si>
  <si>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</si>
  <si>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</si>
  <si>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</si>
  <si>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</si>
  <si>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</si>
  <si>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</si>
  <si>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</si>
  <si>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</si>
  <si>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</si>
  <si>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</si>
  <si>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</si>
  <si>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</si>
  <si>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</si>
  <si>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</si>
  <si>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</si>
  <si>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</si>
  <si>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</si>
  <si>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</si>
  <si>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</si>
  <si>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</si>
  <si>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</si>
  <si>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</si>
  <si>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</si>
  <si>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</si>
  <si>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</si>
  <si>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</si>
  <si>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</si>
  <si>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</si>
  <si>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</si>
  <si>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</si>
  <si>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</si>
  <si>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</si>
  <si>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</si>
  <si>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</si>
  <si>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</si>
  <si>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</si>
  <si>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</si>
  <si>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</si>
  <si>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</si>
  <si>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</si>
  <si>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</si>
  <si>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</si>
  <si>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</si>
  <si>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</si>
  <si>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</si>
  <si>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</si>
  <si>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</si>
  <si>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</si>
  <si>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</si>
  <si>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</si>
  <si>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</si>
  <si>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</si>
  <si>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</si>
  <si>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</si>
  <si>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</si>
  <si>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</si>
  <si>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</si>
  <si>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</si>
  <si>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</si>
  <si>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</si>
  <si>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</si>
  <si>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</si>
  <si>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</si>
  <si>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</si>
  <si>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</si>
  <si>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</si>
  <si>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</si>
  <si>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</si>
  <si>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</si>
  <si>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</si>
  <si>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</si>
  <si>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</si>
  <si>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</si>
  <si>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</si>
  <si>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</si>
  <si>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</si>
  <si>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</si>
  <si>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</si>
  <si>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</si>
  <si>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</si>
  <si>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</si>
  <si>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</si>
  <si>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</si>
  <si>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</si>
  <si>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</si>
  <si>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</si>
  <si>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</si>
  <si>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</si>
  <si>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</si>
  <si>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</si>
  <si>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</si>
  <si>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</si>
  <si>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</si>
  <si>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</si>
  <si>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</si>
  <si>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</si>
  <si>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</si>
  <si>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</si>
  <si>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</si>
  <si>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</si>
  <si>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</si>
  <si>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</si>
  <si>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</si>
  <si>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</si>
  <si>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</si>
  <si>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</si>
  <si>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</si>
  <si>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</si>
  <si>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</si>
  <si>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</si>
  <si>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</si>
  <si>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</si>
  <si>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</si>
  <si>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</si>
  <si>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</si>
  <si>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</si>
  <si>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</si>
  <si>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</si>
  <si>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</si>
  <si>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</si>
  <si>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</si>
  <si>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</si>
  <si>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</si>
  <si>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Municipal Manager</t>
  </si>
  <si>
    <t>Administration Municipal Manager</t>
  </si>
  <si>
    <t>Internal Audit</t>
  </si>
  <si>
    <t>Strategic Support</t>
  </si>
  <si>
    <t>1.1 - Administration Municipal Manager</t>
  </si>
  <si>
    <t>1.2 - Internal Audit</t>
  </si>
  <si>
    <t>1.3 - Disaster Management</t>
  </si>
  <si>
    <t>1.4 - Strategic Support</t>
  </si>
  <si>
    <t>1.5 - Risk Management</t>
  </si>
  <si>
    <t>1.6 - Legal Services</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</si>
  <si>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</si>
  <si>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</si>
  <si>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</si>
  <si>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</si>
  <si>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</si>
  <si>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</si>
  <si>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</si>
  <si>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</si>
  <si>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</si>
  <si>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</si>
  <si>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</si>
  <si>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</si>
  <si>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</si>
  <si>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</si>
  <si>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</si>
  <si>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</si>
  <si>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</si>
  <si>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</si>
  <si>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Revenue</t>
  </si>
  <si>
    <t>Expenditure</t>
  </si>
  <si>
    <t>Supply Chain Management</t>
  </si>
  <si>
    <t>3.1 - Administration Finance</t>
  </si>
  <si>
    <t>3.2 - Budget office</t>
  </si>
  <si>
    <t>3.3 - Revenue</t>
  </si>
  <si>
    <t>3.4 - Expenditure</t>
  </si>
  <si>
    <t>3.5 - Inventory</t>
  </si>
  <si>
    <t>3.6 - Supply Chain Management</t>
  </si>
  <si>
    <t>Communications</t>
  </si>
  <si>
    <t>Public Participation &amp; Project Support</t>
  </si>
  <si>
    <t>Administration HR &amp; Corporate</t>
  </si>
  <si>
    <t>Occupational Health &amp; safety</t>
  </si>
  <si>
    <t>Corporate Services</t>
  </si>
  <si>
    <t>Council Expenditure</t>
  </si>
  <si>
    <t>Information Technolgy</t>
  </si>
  <si>
    <t>4.1 - Communications</t>
  </si>
  <si>
    <t>4.2 - Public Participation &amp; Project Support</t>
  </si>
  <si>
    <t>4.10 - [Name of sub-vote]</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</si>
  <si>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</si>
  <si>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</si>
  <si>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</si>
  <si>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</si>
  <si>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</si>
  <si>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</si>
  <si>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</si>
  <si>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</si>
  <si>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</si>
  <si>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</si>
  <si>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</si>
  <si>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</si>
  <si>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</si>
  <si>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</si>
  <si>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</si>
  <si>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</si>
  <si>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</si>
  <si>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</si>
  <si>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</si>
  <si>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</si>
  <si>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</si>
  <si>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</si>
  <si>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</si>
  <si>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4.8 - Information Technolgy</t>
  </si>
  <si>
    <t>4.3 - Administration HR &amp; Corporate</t>
  </si>
  <si>
    <t>4.4 - Human Resources</t>
  </si>
  <si>
    <t>4.5 - Occupational Health &amp; safety</t>
  </si>
  <si>
    <t>4.6 - Corporate Services</t>
  </si>
  <si>
    <t>4.7 - Council Expenditure</t>
  </si>
  <si>
    <t>6.2 - Administration Transport,safety,Security</t>
  </si>
  <si>
    <t>6.3 - Vehicle licencing</t>
  </si>
  <si>
    <t>6.1 - Traffic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</si>
  <si>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</si>
  <si>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</si>
  <si>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</si>
  <si>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</si>
  <si>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</si>
  <si>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</si>
  <si>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</si>
  <si>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</si>
  <si>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</si>
  <si>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</si>
  <si>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</si>
  <si>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</si>
  <si>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</si>
  <si>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</si>
  <si>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</si>
  <si>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</si>
  <si>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</si>
  <si>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</si>
  <si>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</si>
  <si>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Liberty</t>
  </si>
  <si>
    <t>Standard Bank</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</si>
  <si>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</si>
  <si>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</si>
  <si>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</si>
  <si>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</si>
  <si>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</si>
  <si>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</si>
  <si>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</si>
  <si>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</si>
  <si>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</si>
  <si>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</si>
  <si>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</si>
  <si>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</si>
  <si>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</si>
  <si>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</si>
  <si>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</si>
  <si>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</si>
  <si>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</si>
  <si>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</si>
  <si>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</si>
  <si>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</si>
  <si>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</si>
  <si>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</si>
  <si>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</si>
  <si>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</si>
  <si>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</si>
  <si>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</si>
  <si>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</si>
  <si>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</si>
  <si>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</si>
  <si>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</si>
  <si>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</si>
  <si>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MIG Operation/NDPG</t>
  </si>
  <si>
    <t>MSIG,INEP AND OTHER</t>
  </si>
  <si>
    <t>ESKOM FBS</t>
  </si>
  <si>
    <t>MUSEUM</t>
  </si>
  <si>
    <t>SPORT COUNCIL, SPCA,  ARTS &amp; CULTURAL</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</si>
  <si>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</si>
  <si>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</si>
  <si>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</si>
  <si>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</si>
  <si>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</si>
  <si>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</si>
  <si>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</si>
  <si>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</si>
  <si>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</si>
  <si>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</si>
  <si>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</si>
  <si>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</si>
  <si>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</si>
  <si>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</si>
  <si>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</si>
  <si>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</si>
  <si>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</si>
  <si>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</si>
  <si>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</si>
  <si>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</si>
  <si>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</si>
  <si>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</si>
  <si>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</si>
  <si>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</si>
  <si>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</si>
  <si>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</si>
  <si>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</si>
  <si>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</si>
  <si>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</si>
  <si>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</si>
  <si>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</si>
  <si>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</si>
  <si>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</si>
  <si>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variable</t>
  </si>
  <si>
    <t>Objective 1: Increased investment in the GTM economy</t>
  </si>
  <si>
    <t># of jobs created through municipal  LED initiatives and capital projects</t>
  </si>
  <si>
    <t># of job opportunities created through the CWP</t>
  </si>
  <si>
    <t># of committed investors attracted through GTEDA</t>
  </si>
  <si>
    <t># of cooperatives established and still functional in wards where the CWP is implemented</t>
  </si>
  <si>
    <t># of Local Tourism Association Meetings</t>
  </si>
  <si>
    <t># of LED Forum Meetings</t>
  </si>
  <si>
    <t xml:space="preserve"># of SMME's of tourism exposed to market </t>
  </si>
  <si>
    <t># of SMMEs capacitated through GTEDA (1 Per cluster)</t>
  </si>
  <si>
    <t># of work opportunities created through EPWP projects (FTE)</t>
  </si>
  <si>
    <t>Meetings held with informal traders</t>
  </si>
  <si>
    <t># of SPLUMA Tribunals sittings</t>
  </si>
  <si>
    <t>Objective 2 - Create a stable and enabling environment by attracting suitable investors</t>
  </si>
  <si>
    <t># Of Agricultural EXPO</t>
  </si>
  <si>
    <t># of hectares of land acquired for development</t>
  </si>
  <si>
    <t>Objective 3: Enhanced Integrated Developmental planning</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</si>
  <si>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</si>
  <si>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</si>
  <si>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</si>
  <si>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</si>
  <si>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</si>
  <si>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 of capital spent on projects as prioritised in IDP for specific year</t>
  </si>
  <si>
    <t>Objective 4: Develop high performance culture for a changed, diverse, efficient and effective local government</t>
  </si>
  <si>
    <t># of perfomance assessment for sect 56/57</t>
  </si>
  <si>
    <t># Section 56/57 Managers with signed Performance Agreements/ within legislated timeframes</t>
  </si>
  <si>
    <t>Objective 5: Improve access to sustainable and affordable services</t>
  </si>
  <si>
    <t>% of households with access  to electricity</t>
  </si>
  <si>
    <t># of of household with access to a basic solid waste management services</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</si>
  <si>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</si>
  <si>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</si>
  <si>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</si>
  <si>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Km of roads tarred</t>
  </si>
  <si>
    <t>Traffic fine collection rate [(Rand value received for fines/ R value of fines issued as (%)]</t>
  </si>
  <si>
    <t>R-value spent on waste management</t>
  </si>
  <si>
    <t>Integrated Infrastructure Master Plan</t>
  </si>
  <si>
    <t># of Environmental cotravention pre-compliance and compliance notices</t>
  </si>
  <si>
    <t>Water Demand Management strategy for the 5 serviced towns developed</t>
  </si>
  <si>
    <t>% of availability of fleet</t>
  </si>
  <si>
    <t># of contravention notices issued to decrease non-compliance to building regulations</t>
  </si>
  <si>
    <t># of service areas (rural waste) serviced (EPWP)</t>
  </si>
  <si>
    <t>Objective 6: Optimise and sustain infrastructure investment and services</t>
  </si>
  <si>
    <t>% kwh electricity loss</t>
  </si>
  <si>
    <t>% spent on maintenance of electricity infrastructure as % of asset value</t>
  </si>
  <si>
    <t>New Budgeting Model developed</t>
  </si>
  <si>
    <t>km of electrical underground High Tension (11kv) cable repalced</t>
  </si>
  <si>
    <t>R-value electricity maintenance</t>
  </si>
  <si>
    <t>Km of overhead lines rebuilt</t>
  </si>
  <si>
    <t>R-value spent on maintenance of municipal buildings as % of asset value</t>
  </si>
  <si>
    <t>R-value spent on maintenance of roads infrastructure as % of asset value</t>
  </si>
  <si>
    <t># of cemetries developed or extended</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</si>
  <si>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</si>
  <si>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</si>
  <si>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</si>
  <si>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</si>
  <si>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R-Value of traffic fines issued and collected</t>
  </si>
  <si>
    <t>Submission of the Annual Disaster management report to the Mopani District by 30 September</t>
  </si>
  <si>
    <t>Internal Audit Charter submitted to Audit Committee by 30 June</t>
  </si>
  <si>
    <t># of Library users</t>
  </si>
  <si>
    <t>% compliance to the environmental legislation checklist</t>
  </si>
  <si>
    <t>% of water samples that comply with SANS 0241</t>
  </si>
  <si>
    <t>Percentage compliance with ENATIS  legislative requirement</t>
  </si>
  <si>
    <t># of jobs created by Municipal capital projects for people with disabilities</t>
  </si>
  <si>
    <t># of jobs created by Municipal capital projects for women</t>
  </si>
  <si>
    <t># of jobs created by Municipal capital projects for youth</t>
  </si>
  <si>
    <t>Objective 8: Develop and build a skilled and knowledgable workforce</t>
  </si>
  <si>
    <t>WSP submitted to LGSETA by 30 April</t>
  </si>
  <si>
    <t># of municipal personnel successfully completed the minimum competency levels</t>
  </si>
  <si>
    <t># of senior managers successfully completed the minimum competency levels</t>
  </si>
  <si>
    <t>Objective 9: Improve stakeholders satisfaction</t>
  </si>
  <si>
    <t xml:space="preserve"> # of newsletters produced</t>
  </si>
  <si>
    <t># of media Engagement (Briefings and Media Sessions)</t>
  </si>
  <si>
    <t># of Mayoral Izimbizo organized</t>
  </si>
  <si>
    <t># of summarized quarterly ward reports submitted to Council</t>
  </si>
  <si>
    <t># of fully functional Ward Committees (Ward Committees holding monthly meetings)</t>
  </si>
  <si>
    <t xml:space="preserve"># of statutory provisions (website) complied with as contained in Section 75 (a-l) of MFMA within 5 days of approval </t>
  </si>
  <si>
    <t>Objective 10: Increase financial viaibility</t>
  </si>
  <si>
    <t># of Households billed</t>
  </si>
  <si>
    <t>Percentage Operational Budget Spent</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</si>
  <si>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</si>
  <si>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</si>
  <si>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</si>
  <si>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</si>
  <si>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</si>
  <si>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 xml:space="preserve">Cost coverage </t>
  </si>
  <si>
    <t>% Outstanding service debtors to revenue</t>
  </si>
  <si>
    <t xml:space="preserve">% Capital expenditure </t>
  </si>
  <si>
    <t>% of Finance Management Grant spent</t>
  </si>
  <si>
    <t>% of municipal budget spent</t>
  </si>
  <si>
    <t>% creditors paid within 30 days</t>
  </si>
  <si>
    <t># of finance related policies revised annually</t>
  </si>
  <si>
    <t>% equitable share received</t>
  </si>
  <si>
    <t>Annual financial statements submitted to AG, PT and NT by 31 August</t>
  </si>
  <si>
    <t># of Tenders awarded that deviated from the adjudication committee recommendations</t>
  </si>
  <si>
    <t>Demand Management Plan Approved by Council</t>
  </si>
  <si>
    <t>% of Bids awarded within 2 weeks after adjudication committee resolution</t>
  </si>
  <si>
    <t>% reduction of theft</t>
  </si>
  <si>
    <t>% of tenders approved by MM within 90 days after closing date of tender</t>
  </si>
  <si>
    <t>Annual Assets verificationreport</t>
  </si>
  <si>
    <t># of indigent households registered</t>
  </si>
  <si>
    <t># of SCM reports submitted to national treasury</t>
  </si>
  <si>
    <t xml:space="preserve">% MIG funding spent </t>
  </si>
  <si>
    <t>Objective 11: Efficient and effective administration</t>
  </si>
  <si>
    <t># of performance reports audited</t>
  </si>
  <si>
    <t>Draft Annual report considered  by Council within legislative time frames</t>
  </si>
  <si>
    <t>Final Annual report approved by council within legislative `timeframes</t>
  </si>
  <si>
    <t># of quarterly SDBIP reports submitted to Council</t>
  </si>
  <si>
    <t>3 of Back to Basics reports submitted to CoGHSTA by the 10th of each month</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</si>
  <si>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</si>
  <si>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</si>
  <si>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</si>
  <si>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 of Quartely risk monitoring reports submitted to Council</t>
  </si>
  <si>
    <t># of Anti-corruption and fraud meetings</t>
  </si>
  <si>
    <t># of compliance monitoring reports submitted to Council</t>
  </si>
  <si>
    <t># of investigation reports submitted to Council</t>
  </si>
  <si>
    <t># of compliance plans submitted to Council</t>
  </si>
  <si>
    <t># of Risk Assessments reports submitted to Council</t>
  </si>
  <si>
    <t># of Council meetings held</t>
  </si>
  <si>
    <t># of Exco meetings held</t>
  </si>
  <si>
    <t># of Potfolio meetings held</t>
  </si>
  <si>
    <t># of Local Labour Forum (LLF) meetings</t>
  </si>
  <si>
    <t># of monthly contract management reports submitted</t>
  </si>
  <si>
    <t># of Risk Management progress reports submitted to Council</t>
  </si>
  <si>
    <t xml:space="preserve">Reviewed Internal Audit Charter submittted to Audit Committee </t>
  </si>
  <si>
    <t># of management meetings held</t>
  </si>
  <si>
    <t># of days taken to make MPAC oversight reports available to the public after Council approval</t>
  </si>
  <si>
    <t># of Audit committee packs submitted 7 days before meeting</t>
  </si>
  <si>
    <t>% of GTM Council Resolutions implimented</t>
  </si>
  <si>
    <t>% of SLA drafted and signed within 10 days after Acceptance of the appointed</t>
  </si>
  <si>
    <t>Revised 3 year strategic plan (Internal Audit) approved by Audit Committee</t>
  </si>
  <si>
    <t># of audit queries from AG</t>
  </si>
  <si>
    <t>Audit opinion</t>
  </si>
  <si>
    <t># audit committee meetings held</t>
  </si>
  <si>
    <t>Objective 12: Attract and retain best human capital to become employer or choice</t>
  </si>
  <si>
    <t># of budgeted level 0 - 6 positions filled</t>
  </si>
  <si>
    <t xml:space="preserve">% staff turnover </t>
  </si>
  <si>
    <t># of theft in Council buildings</t>
  </si>
  <si>
    <t># OF OHS Risk assessment conducted</t>
  </si>
  <si>
    <t># of municipal personnel with technical skills/capacity (engineer and technicians)</t>
  </si>
  <si>
    <t xml:space="preserve">Number of Section 57 posts vacant for more than three months </t>
  </si>
  <si>
    <t># of municipal personnel with capacity on spatial planning</t>
  </si>
  <si>
    <t>% of municipal personnel budget spent</t>
  </si>
  <si>
    <t># of community feedback meetings held</t>
  </si>
  <si>
    <t>% Employees that are female</t>
  </si>
  <si>
    <t>% Employees that are youth</t>
  </si>
  <si>
    <t>% Employees that are disabled</t>
  </si>
  <si>
    <t># of critical posts filled (MM, CFO, Engineer, Town Planner, Communications, CORP)</t>
  </si>
  <si>
    <r>
      <t>% of households earning less that R1100 served with</t>
    </r>
    <r>
      <rPr>
        <i/>
        <u/>
        <sz val="8"/>
        <color indexed="8"/>
        <rFont val="Arial Narrow"/>
        <family val="2"/>
      </rPr>
      <t xml:space="preserve"> free basic</t>
    </r>
    <r>
      <rPr>
        <i/>
        <sz val="8"/>
        <color indexed="8"/>
        <rFont val="Arial Narrow"/>
        <family val="2"/>
      </rPr>
      <t xml:space="preserve"> electricity (registerd as indigents)</t>
    </r>
  </si>
  <si>
    <t>10 days</t>
  </si>
  <si>
    <t>100%(36732)</t>
  </si>
  <si>
    <t>R2000 000</t>
  </si>
  <si>
    <t>UnQualified</t>
  </si>
  <si>
    <t>Engineering services</t>
  </si>
  <si>
    <t>Mopye High School Access Road: Phase 1 of 2 and 2 of 2</t>
  </si>
  <si>
    <t>ESD-11</t>
  </si>
  <si>
    <t>New</t>
  </si>
  <si>
    <t>Ward 9</t>
  </si>
  <si>
    <t>Paving Nelson Ramodike High School Access road to school  Phase 1 of 2 and phase 2 of 3 and 3 of 3</t>
  </si>
  <si>
    <t>ESD-12</t>
  </si>
  <si>
    <t>Ward 30</t>
  </si>
  <si>
    <t>Tarring of Nkowankowa B Streets</t>
  </si>
  <si>
    <t>ESD-13</t>
  </si>
  <si>
    <t>Ward 16</t>
  </si>
  <si>
    <t>Maruji to Matshwil Kheshokolwe road from gravel to tar Phase 5 of 5</t>
  </si>
  <si>
    <t>ESD-14</t>
  </si>
  <si>
    <t>Ward 19</t>
  </si>
  <si>
    <t>Tarring Nkowankowa A Codesa and Hani Street Phase</t>
  </si>
  <si>
    <t>ESD-15</t>
  </si>
  <si>
    <t>Mulati Access Road paving phase 1 of 2 and 2 of 2</t>
  </si>
  <si>
    <t>ESD-19</t>
  </si>
  <si>
    <t>Ward 25</t>
  </si>
  <si>
    <t>Paving of Thapane Cross, Mandlakazi to Nwamitwa Phase 1 of 3 (D3248) and 2 of 3 and 3 of 3</t>
  </si>
  <si>
    <t>ESD-20</t>
  </si>
  <si>
    <t>Ward 13</t>
  </si>
  <si>
    <t>Leseka to Mampa Primary School road</t>
  </si>
  <si>
    <t>ESD-22</t>
  </si>
  <si>
    <t>Ward 34</t>
  </si>
  <si>
    <t>Dr. CN Phatudi to Pharare Access Road regravelling and storm water control.</t>
  </si>
  <si>
    <t>ESD-23</t>
  </si>
  <si>
    <t>Ward 28</t>
  </si>
  <si>
    <t>Uprgading of Access Road Mbambamencisi Phase 1 of 3 and 2 of 3</t>
  </si>
  <si>
    <t>ESD-25</t>
  </si>
  <si>
    <t>Upgrading</t>
  </si>
  <si>
    <t>Ward 21</t>
  </si>
  <si>
    <t>Upgrading of Khujwana to Lenyenye Access Road Phase 1 of 3 and 2 of 3 and 3 of 3</t>
  </si>
  <si>
    <t>ESD-26</t>
  </si>
  <si>
    <t>Ward 31</t>
  </si>
  <si>
    <t>Risaba to Musiphani Road upgrade from gravel to tar phase 1of 4</t>
  </si>
  <si>
    <t>ESD-30</t>
  </si>
  <si>
    <t>Relela Access Road: Phase 1 of 4 Upgrading from gravel to paving</t>
  </si>
  <si>
    <t>ESD-31</t>
  </si>
  <si>
    <t>Ward 26</t>
  </si>
  <si>
    <t>Matapa to Leseka to access road to school: phase 1 of 4</t>
  </si>
  <si>
    <t>ESD-32</t>
  </si>
  <si>
    <t>Mawa B12 Low level bridge</t>
  </si>
  <si>
    <t>ESD-34</t>
  </si>
  <si>
    <t>Ward 2</t>
  </si>
  <si>
    <t>Maweni low level bridge</t>
  </si>
  <si>
    <t>New Lenyenye Taxi Rank Phase 1 of 2 and 2 of 2</t>
  </si>
  <si>
    <t>ESD-101</t>
  </si>
  <si>
    <t xml:space="preserve">Electrical </t>
  </si>
  <si>
    <t>Installation of new Entrance Streetlights R71</t>
  </si>
  <si>
    <t>EED-46</t>
  </si>
  <si>
    <t>Ward 15</t>
  </si>
  <si>
    <t>R71 Deerpark Traffic Circle lights SANRAL</t>
  </si>
  <si>
    <t>EED-47</t>
  </si>
  <si>
    <t>Area Lighting at R36 Kujwana turn off</t>
  </si>
  <si>
    <t>EED-59</t>
  </si>
  <si>
    <t>Ward 18</t>
  </si>
  <si>
    <t>Renewal Repairs and Maintenance on prepaid meters and infrastructure at Tzaneen, Letsitele and Politsi</t>
  </si>
  <si>
    <t>EED-118</t>
  </si>
  <si>
    <t>Renewal</t>
  </si>
  <si>
    <t>Miniature substation Urban distribution networks as directed by (NERSA + (ITEM B53 6/14)</t>
  </si>
  <si>
    <t>EED-119</t>
  </si>
  <si>
    <t>Replacing 11 kV cables due to required increase in capacity (0.5 km)(0.5km)</t>
  </si>
  <si>
    <t>EED-120</t>
  </si>
  <si>
    <t>All wards</t>
  </si>
  <si>
    <t>Substation Tripping Batteries (ITEM B53 6/14)</t>
  </si>
  <si>
    <t>EED-121</t>
  </si>
  <si>
    <t>Provision of Electrical Tools (Customer Retail)</t>
  </si>
  <si>
    <t>EED-122</t>
  </si>
  <si>
    <t>Provision of Electrical Tools (Operation and Maintenance)</t>
  </si>
  <si>
    <t>EED-123</t>
  </si>
  <si>
    <t>Replacement of 4 Existing Airconditioners in Municipal Buildings</t>
  </si>
  <si>
    <t>EED-124</t>
  </si>
  <si>
    <t>Rebuilding of lines – Green Frog Haenertsburg (6km)</t>
  </si>
  <si>
    <t>EED-125</t>
  </si>
  <si>
    <t>Rebuilding of lines Gravelotte – De Neck (2,5km)</t>
  </si>
  <si>
    <t>EED-126</t>
  </si>
  <si>
    <t>N/A Ba-Phalaborwa ward</t>
  </si>
  <si>
    <t>Rebuilding of 33 kV lines – Lalapanzi – Waterbok in phases 1,5 km</t>
  </si>
  <si>
    <t>EED-128</t>
  </si>
  <si>
    <t>Rebuilding of Mashutti 11 kV line (2km)</t>
  </si>
  <si>
    <t>EED-129</t>
  </si>
  <si>
    <t>Rebuilding of Deeside 11 kV line (2,5km)</t>
  </si>
  <si>
    <t>EED-130</t>
  </si>
  <si>
    <t>Rebuilding of Yamorna and Shivurali 11 kV line (4km)</t>
  </si>
  <si>
    <t>EED-131</t>
  </si>
  <si>
    <t>Rebuilding of Ledzee 11kV line from LZ44 to Van der Grey Farm (2.5 km)</t>
  </si>
  <si>
    <t>EED-132</t>
  </si>
  <si>
    <t>Rebuilding of lines – Letsitele Valley Substation – Bosbou and all T offs (2,5km)</t>
  </si>
  <si>
    <t>EED-133</t>
  </si>
  <si>
    <t>Rebuilding of Lushof South 11 kV lines (2,5km)</t>
  </si>
  <si>
    <t>EED-134</t>
  </si>
  <si>
    <t>Rebuilding of Rooikoppies 11kV lines (5km)</t>
  </si>
  <si>
    <t>EED-135</t>
  </si>
  <si>
    <t>Rebuilding of Mabiet 11 kV lines (5km)</t>
  </si>
  <si>
    <t>EED-136</t>
  </si>
  <si>
    <t>Rebuilding of Haenertsburg 11 kV lines (5 km)</t>
  </si>
  <si>
    <t>EED-137</t>
  </si>
  <si>
    <t>Rebuilding of Campsies Glen 11 kV lines (5 km)</t>
  </si>
  <si>
    <t>EED-138</t>
  </si>
  <si>
    <t>Ward 14</t>
  </si>
  <si>
    <t>Rebuilding of Politsi Valley 11 kV lines (5km)</t>
  </si>
  <si>
    <t>EED-139</t>
  </si>
  <si>
    <t>Rebuilding of Mieliekloof and Deerpark 11 kV lines (2,5km)</t>
  </si>
  <si>
    <t>EED-142</t>
  </si>
  <si>
    <t>Ward 13 &amp; 14</t>
  </si>
  <si>
    <t>Rebuilding of Letaba Feeder 33 kV line (2,5km)</t>
  </si>
  <si>
    <t>EED-143</t>
  </si>
  <si>
    <t>Ward 15 &amp; 19</t>
  </si>
  <si>
    <t>Substation Fencing</t>
  </si>
  <si>
    <t>EED-146</t>
  </si>
  <si>
    <t>Replace 2 x 15 MVA 66/11 kV (linked to Revenue on new electricity connections)</t>
  </si>
  <si>
    <t>EED-147</t>
  </si>
  <si>
    <t>Replace 11 kV and 33 kV Auto reclosers per annum (x5) (ITEM B53 6/14)</t>
  </si>
  <si>
    <t>EED-149</t>
  </si>
  <si>
    <t>Building of new 4 MVA, 33/11 kV Substation at Agatha</t>
  </si>
  <si>
    <t>Ward 13,14,16,19</t>
  </si>
  <si>
    <t>Refurbishment of the Ebenezer 33 kV Feeder (2,5km)</t>
  </si>
  <si>
    <t>EED-151</t>
  </si>
  <si>
    <t>Ward 15 &amp; 16</t>
  </si>
  <si>
    <t>Rebuilding of Valencia 11 kV lines</t>
  </si>
  <si>
    <t>New enterance street R36 Streetlights</t>
  </si>
  <si>
    <t>EED – 17/18/1</t>
  </si>
  <si>
    <t>Ward 14 &amp; 15</t>
  </si>
  <si>
    <t xml:space="preserve">Area Lighting at Tarentaalrand Crossing </t>
  </si>
  <si>
    <t>EED – 17/18/2</t>
  </si>
  <si>
    <t xml:space="preserve">Replace 2 x 20 MVA 66/11 kV Transformer at Tzaneen Main sub </t>
  </si>
  <si>
    <t>Renewal repairs and maintenance on Prepaid Meters (Tzabeen, Letsitele,Talana</t>
  </si>
  <si>
    <t>Replacing 11 kV cables for increased capacity</t>
  </si>
  <si>
    <t>Substation Tripping Batteries</t>
  </si>
  <si>
    <t>Miniature substation for Urban distribution network</t>
  </si>
  <si>
    <t>Provision Capital Tools (Customer and Retail Services</t>
  </si>
  <si>
    <t>EED – 17/18/3</t>
  </si>
  <si>
    <t>Provision of Capital Tools (Operations and Maintenance)</t>
  </si>
  <si>
    <t>Replacement of Existing Airconditioners in Municipal buildings</t>
  </si>
  <si>
    <t>Rebuilding of lines – Letsitele Valley substation – Bosbou and all T-offs –3km</t>
  </si>
  <si>
    <t xml:space="preserve"> Rebuilding of Valencia 11kV lines 6 km</t>
  </si>
  <si>
    <t>EED – 17/18/6</t>
  </si>
  <si>
    <t>Rebuilding of Lushof South 11kV lines 3 km</t>
  </si>
  <si>
    <t>Rebuilding of Rooikoppies 11kV lines 6 km</t>
  </si>
  <si>
    <t>Rebuilding of Mabete 11 kV lines 6 km</t>
  </si>
  <si>
    <t>Rebuilding of Haenertsburg 11 kV lines 6 km</t>
  </si>
  <si>
    <t>Rebuilding of Campsies Glen 11 kV lines  6 km</t>
  </si>
  <si>
    <t>Rebuilding of Politsi Valley 11 kV lines 6 km</t>
  </si>
  <si>
    <t>Rebuilding of CP Minnaar 11 kV lines 2 km</t>
  </si>
  <si>
    <t>Rebuilding of Mieliekloof/Deerpark 11 kV lines 3 km</t>
  </si>
  <si>
    <t>Upgrading of Waterbok 33/11 kV Substation</t>
  </si>
  <si>
    <t>Upgrading of Blacknoll 33/11 kV Substation</t>
  </si>
  <si>
    <t>Houtbosdorp 11 kV Ring 10 km</t>
  </si>
  <si>
    <t>Substation fencing Tarentaalrand main</t>
  </si>
  <si>
    <t xml:space="preserve">Ward 13 </t>
  </si>
  <si>
    <t>Replacing of old SS1 electrical substation circuit breakers with compact switchgear</t>
  </si>
  <si>
    <t>Replacement of Autoreclosers (11kV and 33 kV)</t>
  </si>
  <si>
    <t>Refurbishment of the Ebenezer 33 kV Feeder</t>
  </si>
  <si>
    <t>community services</t>
  </si>
  <si>
    <t>Construction of bud wall and installation of oil and grease trap</t>
  </si>
  <si>
    <t>Purchase of drip trays and oil spilt kit</t>
  </si>
  <si>
    <t>Low level bridge at Agatha Cemetry</t>
  </si>
  <si>
    <t>ESD-35</t>
  </si>
  <si>
    <t>Purchase of crane for Electrical Engineering</t>
  </si>
  <si>
    <t>ESD-45</t>
  </si>
  <si>
    <t>budget &amp; treasury services</t>
  </si>
  <si>
    <t>Purchase of motor vehicles</t>
  </si>
  <si>
    <t>Engineering services housing</t>
  </si>
  <si>
    <t>Upgrading of old Fire station building and Civic Centre</t>
  </si>
  <si>
    <t>ESD-60</t>
  </si>
  <si>
    <t>Upgrading of Tzaneen Ext 13 internal street from gravel to paving</t>
  </si>
  <si>
    <t>ESD-102</t>
  </si>
  <si>
    <t>Grass Cutting machines at Nkowankowa, Lenyenye and Tzaneen</t>
  </si>
  <si>
    <t>ESD-98</t>
  </si>
  <si>
    <t>Planning Gteda</t>
  </si>
  <si>
    <t>Purchase of mSCOA printers and programmes</t>
  </si>
  <si>
    <t>GTEDA 157</t>
  </si>
  <si>
    <t>Civic centre</t>
  </si>
  <si>
    <t>Purchase Office furniture and equipment for the Electrical Engineering Department</t>
  </si>
  <si>
    <t>EED-166</t>
  </si>
  <si>
    <t>Purchase Office furniture and equipment for the Engineering Services Department</t>
  </si>
  <si>
    <t>ESD-160</t>
  </si>
  <si>
    <t>Purchase Office furniture and equipment for Office of the Municipal Manager</t>
  </si>
  <si>
    <t>MM-161</t>
  </si>
  <si>
    <t>corporate services</t>
  </si>
  <si>
    <t>Purchase office furniture and equipment for the Corporate Services Department</t>
  </si>
  <si>
    <t>CORP-162</t>
  </si>
  <si>
    <t>Purchase office furniture and equipment for the Budget &amp; Treasury Department</t>
  </si>
  <si>
    <t>CFO-163</t>
  </si>
  <si>
    <t>Planning &amp; economic development</t>
  </si>
  <si>
    <t>Purchase office furniture and equipment for the Planning &amp; Economic Department</t>
  </si>
  <si>
    <t>PED-164</t>
  </si>
  <si>
    <t>Purchase Office furniture and equipment for the Community Services Department</t>
  </si>
  <si>
    <t>CSD-165</t>
  </si>
  <si>
    <t>Tickline to Makhwibidung Storm Water Management</t>
  </si>
  <si>
    <t>Ward 27,29 &amp; 30</t>
  </si>
  <si>
    <t>Low level bridge at Agatha Cemetery</t>
  </si>
  <si>
    <t>ESD-33</t>
  </si>
  <si>
    <t>Additions to existing Tzaneen Stores including Fencing</t>
  </si>
  <si>
    <t>ESD-100</t>
  </si>
  <si>
    <t>ESD-103</t>
  </si>
  <si>
    <t>Maintenance of Danie Joubert Street (Police Station to CTM) in Tzaneen</t>
  </si>
  <si>
    <t>Maintenance of Pusela to Van Velden to Billy Maritz street in Tzaneen</t>
  </si>
  <si>
    <t>ESD-104</t>
  </si>
  <si>
    <t>Maintenance of 1st Avenue street in Tzaneen</t>
  </si>
  <si>
    <t>ESD-105</t>
  </si>
  <si>
    <t>Maintenance of 3rd Avenue to Hospitaal to 2nd Avenue street in Tzaneen</t>
  </si>
  <si>
    <t>ESD-106</t>
  </si>
  <si>
    <t>Maintenance of Boundary Street</t>
  </si>
  <si>
    <t>ESD-107</t>
  </si>
  <si>
    <t>Maintenance of Nkowankowa internal streets (Bankuna road to Thambo to Maxakeni)</t>
  </si>
  <si>
    <t>ESD-108</t>
  </si>
  <si>
    <t>Maintenance of Lenyenye internal Streets (Main street to Industrial to Stadium to Ithuseng to main street via Police Station)</t>
  </si>
  <si>
    <t>ESD-109</t>
  </si>
  <si>
    <t>Maintenance of Vorster Street in Letsitele</t>
  </si>
  <si>
    <t>ESD-111</t>
  </si>
  <si>
    <t>Ward 22</t>
  </si>
  <si>
    <t>Maintenance of Eerste Street in Letsitele</t>
  </si>
  <si>
    <t>ESD-112</t>
  </si>
  <si>
    <t>Maintenance of Main CBD street and Parking in Letsitele</t>
  </si>
  <si>
    <t>ESD-113</t>
  </si>
  <si>
    <t>Rehabilitation of Haenertsburg Cementry road.</t>
  </si>
  <si>
    <t>ESD-114</t>
  </si>
  <si>
    <t>EED-141</t>
  </si>
  <si>
    <t>Upgrading of Blacknoll 33/11kV Substation</t>
  </si>
  <si>
    <t>Replace 2 x 15 MVA 66/11 kV (Linked to Revenue on New Electricity Connections</t>
  </si>
  <si>
    <t>EED-144</t>
  </si>
  <si>
    <t>Replacing of Old SS1 electrical substation circuit breakers with compact switchgear</t>
  </si>
  <si>
    <t>EED-145</t>
  </si>
  <si>
    <t>service contribution</t>
  </si>
  <si>
    <t>Entrance Streetlights R71 from Polokwane (Adshade bridge to the Voortrekker street robot)</t>
  </si>
  <si>
    <t>R71 Deerpark Traffic circle lights (From Voortrekker street traffic light up to traffic circle)</t>
  </si>
  <si>
    <t xml:space="preserve">Rebuilding of lines Greenfog to Haenertsburg (6km) </t>
  </si>
  <si>
    <t xml:space="preserve">Rebuilding of lines Gravelotte-De Neck (2.5km)  </t>
  </si>
  <si>
    <t xml:space="preserve">Rebuilding of 33kv  lines Lalapanzi-Waterbok in phases (1.5km) </t>
  </si>
  <si>
    <t xml:space="preserve">Rebuilding of Mashutti 11kv line (2km) </t>
  </si>
  <si>
    <t xml:space="preserve">Rebuilding of Deeside 11kv line (2.5km) </t>
  </si>
  <si>
    <t xml:space="preserve">Rebuilding of Yamorna/ Shivurali 11kv line (4km) </t>
  </si>
  <si>
    <t xml:space="preserve">Rebuilding of Ledzee 11kv line from LZ44 to Vandergreyp Farm (2.5km) </t>
  </si>
  <si>
    <t xml:space="preserve">Rebuilding Letaba Feeder 33kv line (2.5 km) </t>
  </si>
  <si>
    <t xml:space="preserve">Rebuilding Waterbok 11kv lines </t>
  </si>
  <si>
    <t>Retrofitting old panels with safe technologies at Skirving and Peace Street Substation</t>
  </si>
  <si>
    <t>Install 33kv voltage regulator on the 33kv Haenertsburg ring</t>
  </si>
  <si>
    <t>Rebuild 66kv wooden line from Tzaneen to Tarentaalrand (20Km)</t>
  </si>
  <si>
    <t>New 11kv Feeder from Western substation to Industrial area</t>
  </si>
  <si>
    <t>Upgrading of Lenyenye Stadium Phase II</t>
  </si>
  <si>
    <t>EED-117</t>
  </si>
  <si>
    <t>EED-140</t>
  </si>
  <si>
    <t>EED – 144</t>
  </si>
  <si>
    <t>EED – 116</t>
  </si>
  <si>
    <t>EED – 130</t>
  </si>
  <si>
    <t>EED – 153</t>
  </si>
  <si>
    <t>EED – 131</t>
  </si>
  <si>
    <t>EED – 132</t>
  </si>
  <si>
    <t>EED – 133</t>
  </si>
  <si>
    <t>EED – 134</t>
  </si>
  <si>
    <t>EED – 135</t>
  </si>
  <si>
    <t>EED – 136</t>
  </si>
  <si>
    <t>EED – 137</t>
  </si>
  <si>
    <t>EED – 139</t>
  </si>
  <si>
    <t>EED – 141</t>
  </si>
  <si>
    <t>EED – 142</t>
  </si>
  <si>
    <t>EED 143</t>
  </si>
  <si>
    <t>EED 146</t>
  </si>
  <si>
    <t>EED-148</t>
  </si>
  <si>
    <t>ESD-mv1</t>
  </si>
  <si>
    <t>ESD-61</t>
  </si>
  <si>
    <t>EED-127</t>
  </si>
  <si>
    <t>ESD-156</t>
  </si>
  <si>
    <t>CSD-G1</t>
  </si>
  <si>
    <t>CSD-G2</t>
  </si>
  <si>
    <t>Upgrading of Old Fire Station building and Civic Centre</t>
  </si>
  <si>
    <t>27/02/2019</t>
  </si>
  <si>
    <t>www.tzaneen.gov.za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</si>
  <si>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</si>
  <si>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</si>
  <si>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</si>
  <si>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</si>
  <si>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</si>
  <si>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</si>
  <si>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</si>
  <si>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</si>
  <si>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</si>
  <si>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</si>
  <si>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</si>
  <si>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</si>
  <si>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</si>
  <si>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810906 0823 086</t>
  </si>
  <si>
    <t>Roseÿ Letsoalo</t>
  </si>
  <si>
    <t>083 331 1541</t>
  </si>
  <si>
    <t>086 759 6489</t>
  </si>
  <si>
    <t>rose.letsoalo@tzaneen.gov.za</t>
  </si>
  <si>
    <t>690404 5633 085</t>
  </si>
  <si>
    <t>Mr</t>
  </si>
  <si>
    <t>Maripe Mangena</t>
  </si>
  <si>
    <t>015 307 8014</t>
  </si>
  <si>
    <t>083 694 3231</t>
  </si>
  <si>
    <t>maripe.mangena@tzaneen.gov.za</t>
  </si>
  <si>
    <t>830619 5622 082</t>
  </si>
  <si>
    <t>Tsietsi Manyama</t>
  </si>
  <si>
    <t>015 307 8007</t>
  </si>
  <si>
    <t>076 363 2917</t>
  </si>
  <si>
    <t>tsietsi@tzaneen.gov.za</t>
  </si>
  <si>
    <t>Bartholomew Serapelo Matlala</t>
  </si>
  <si>
    <t>015 307 8002</t>
  </si>
  <si>
    <t>071 592 5089</t>
  </si>
  <si>
    <t>tmatlala@tzaneen.gov.za</t>
  </si>
  <si>
    <t>820405 0045 087</t>
  </si>
  <si>
    <t>Mrs</t>
  </si>
  <si>
    <t>Mandy Arjoon</t>
  </si>
  <si>
    <t>015 307 8246</t>
  </si>
  <si>
    <t>083 538 5266</t>
  </si>
  <si>
    <t>Mandy.Arjoon@tzaneen.gov.za</t>
  </si>
  <si>
    <t>PM Makhubela</t>
  </si>
  <si>
    <t>015 307 8062</t>
  </si>
  <si>
    <t>078 239 9010</t>
  </si>
  <si>
    <t>palesam@tzaneen.gov.za</t>
  </si>
  <si>
    <t>850715 0887 087</t>
  </si>
  <si>
    <t>Mimmy Maunatlala</t>
  </si>
  <si>
    <t>072 331 0804</t>
  </si>
  <si>
    <t>mimmy.maunatlala@tzaneen.gov.za</t>
  </si>
  <si>
    <t>540627 5026 080</t>
  </si>
  <si>
    <t>Johan Biewenga</t>
  </si>
  <si>
    <t>015 307 8061</t>
  </si>
  <si>
    <t>082 907 5310</t>
  </si>
  <si>
    <t>Johan.Biewenga@tzaneen.gov.za</t>
  </si>
  <si>
    <t>800209 5445 084</t>
  </si>
  <si>
    <t>Tshembani Godwill Maluleke</t>
  </si>
  <si>
    <t>015 307 8085</t>
  </si>
  <si>
    <t>082 724 6828</t>
  </si>
  <si>
    <t>tshembani@tzaneen.gov.za</t>
  </si>
  <si>
    <t>820506 5810 084</t>
  </si>
  <si>
    <t>Mr Arnold Mathebula</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</si>
  <si>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</si>
  <si>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</si>
  <si>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</si>
  <si>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</si>
  <si>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</si>
  <si>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</si>
  <si>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</si>
  <si>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</si>
  <si>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</si>
  <si>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</si>
  <si>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</si>
  <si>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</si>
  <si>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</si>
  <si>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</si>
  <si>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</si>
  <si>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</si>
  <si>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</si>
  <si>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</si>
  <si>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</si>
  <si>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</si>
  <si>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</si>
  <si>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</si>
  <si>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</si>
  <si>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</si>
  <si>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</si>
  <si>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</si>
  <si>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</si>
  <si>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</si>
  <si>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</si>
  <si>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</si>
  <si>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</si>
  <si>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082 322 5388</t>
  </si>
  <si>
    <t>andre.legrange@tzaneen.gov.za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</si>
</sst>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R&quot;\ * #,##0.00_ ;_ &quot;R&quot;\ * \-#,##0.00_ ;_ &quot;R&quot;\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7"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9"/>
      <color theme="1"/>
      <name val="Arial Narrow"/>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
      <left style="medium">
        <color rgb="FF000000"/>
      </left>
      <right style="medium">
        <color rgb="FF000000"/>
      </right>
      <top style="medium">
        <color rgb="FF000000"/>
      </top>
      <bottom style="medium">
        <color rgb="FF000000"/>
      </bottom>
      <diagonal/>
    </border>
  </borders>
  <cellStyleXfs count="58">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448">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6" applyFont="1" applyFill="1" applyBorder="1" applyAlignment="1">
      <alignment horizontal="center" vertical="center" wrapText="1"/>
    </xf>
    <xf numFmtId="9" fontId="10" fillId="0" borderId="17" xfId="46" applyFont="1" applyFill="1" applyBorder="1" applyAlignment="1">
      <alignment horizontal="center" vertical="center" wrapText="1"/>
    </xf>
    <xf numFmtId="9" fontId="10" fillId="0" borderId="18" xfId="46"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6" applyFont="1" applyFill="1" applyBorder="1" applyAlignment="1">
      <alignment horizontal="center" vertical="center"/>
    </xf>
    <xf numFmtId="9" fontId="9" fillId="0" borderId="26" xfId="46" applyFont="1" applyFill="1" applyBorder="1" applyAlignment="1">
      <alignment horizontal="center" vertical="center"/>
    </xf>
    <xf numFmtId="9" fontId="9" fillId="0" borderId="27" xfId="46" applyFont="1" applyFill="1" applyBorder="1" applyAlignment="1">
      <alignment horizontal="center" vertical="center"/>
    </xf>
    <xf numFmtId="0" fontId="11" fillId="0" borderId="28" xfId="0" applyFont="1" applyFill="1" applyBorder="1"/>
    <xf numFmtId="170" fontId="9" fillId="0" borderId="29" xfId="0" applyNumberFormat="1"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0" fontId="9" fillId="0" borderId="10" xfId="0" applyFont="1" applyFill="1" applyBorder="1" applyAlignment="1">
      <alignment horizontal="left" indent="1"/>
    </xf>
    <xf numFmtId="170" fontId="9" fillId="0" borderId="19" xfId="0" applyNumberFormat="1" applyFont="1" applyBorder="1"/>
    <xf numFmtId="170" fontId="9" fillId="0" borderId="20" xfId="0" applyNumberFormat="1" applyFont="1" applyBorder="1"/>
    <xf numFmtId="170" fontId="9" fillId="0" borderId="21" xfId="0" applyNumberFormat="1" applyFont="1" applyBorder="1"/>
    <xf numFmtId="170" fontId="9" fillId="0" borderId="22" xfId="0" applyNumberFormat="1" applyFont="1" applyBorder="1"/>
    <xf numFmtId="170"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0" fontId="9" fillId="0" borderId="24" xfId="0" applyNumberFormat="1" applyFont="1" applyBorder="1"/>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0"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6" applyFont="1" applyFill="1" applyBorder="1" applyAlignment="1">
      <alignment horizontal="center" vertical="center"/>
    </xf>
    <xf numFmtId="9" fontId="9" fillId="0" borderId="40" xfId="46"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1" fontId="10" fillId="0" borderId="42" xfId="0" applyNumberFormat="1" applyFont="1" applyBorder="1"/>
    <xf numFmtId="171" fontId="10" fillId="0" borderId="43" xfId="0" applyNumberFormat="1" applyFont="1" applyBorder="1"/>
    <xf numFmtId="171" fontId="10" fillId="0" borderId="44" xfId="0" applyNumberFormat="1" applyFont="1" applyBorder="1"/>
    <xf numFmtId="0" fontId="9" fillId="0" borderId="14" xfId="0" applyFont="1" applyBorder="1"/>
    <xf numFmtId="168" fontId="9" fillId="0" borderId="0" xfId="0" applyNumberFormat="1" applyFont="1" applyBorder="1"/>
    <xf numFmtId="0" fontId="9" fillId="0" borderId="14" xfId="0" applyFont="1" applyBorder="1" applyAlignment="1">
      <alignment horizontal="left" indent="1"/>
    </xf>
    <xf numFmtId="168"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1" fontId="10" fillId="0" borderId="24" xfId="0" applyNumberFormat="1" applyFont="1" applyBorder="1"/>
    <xf numFmtId="171" fontId="10" fillId="0" borderId="25" xfId="0" applyNumberFormat="1" applyFont="1" applyBorder="1"/>
    <xf numFmtId="171" fontId="10" fillId="0" borderId="27" xfId="0" applyNumberFormat="1" applyFont="1" applyBorder="1"/>
    <xf numFmtId="0" fontId="14" fillId="0" borderId="46"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1"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171" fontId="9" fillId="24" borderId="20" xfId="30" applyNumberFormat="1" applyFont="1" applyFill="1" applyBorder="1" applyProtection="1">
      <protection locked="0"/>
    </xf>
    <xf numFmtId="171" fontId="9" fillId="24" borderId="22" xfId="30" applyNumberFormat="1" applyFont="1" applyFill="1" applyBorder="1" applyProtection="1">
      <protection locked="0"/>
    </xf>
    <xf numFmtId="171" fontId="9" fillId="24" borderId="40" xfId="0" applyNumberFormat="1" applyFont="1" applyFill="1" applyBorder="1" applyProtection="1">
      <protection locked="0"/>
    </xf>
    <xf numFmtId="171" fontId="10" fillId="25" borderId="42" xfId="0" applyNumberFormat="1" applyFont="1" applyFill="1" applyBorder="1"/>
    <xf numFmtId="0" fontId="15" fillId="0" borderId="14" xfId="0" applyFont="1" applyBorder="1" applyAlignment="1">
      <alignment horizontal="center"/>
    </xf>
    <xf numFmtId="171" fontId="10" fillId="0" borderId="50" xfId="0" applyNumberFormat="1" applyFont="1" applyBorder="1"/>
    <xf numFmtId="171" fontId="10" fillId="0" borderId="51" xfId="0" applyNumberFormat="1" applyFont="1" applyBorder="1"/>
    <xf numFmtId="171"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5"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1"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1" fontId="9" fillId="24" borderId="36" xfId="0" applyNumberFormat="1" applyFont="1" applyFill="1" applyBorder="1" applyProtection="1">
      <protection locked="0"/>
    </xf>
    <xf numFmtId="171" fontId="9" fillId="0" borderId="36" xfId="0" applyNumberFormat="1" applyFont="1" applyFill="1" applyBorder="1" applyProtection="1"/>
    <xf numFmtId="171" fontId="9" fillId="0" borderId="20" xfId="0" applyNumberFormat="1" applyFont="1" applyFill="1" applyBorder="1" applyProtection="1"/>
    <xf numFmtId="171" fontId="9" fillId="0" borderId="22" xfId="0" applyNumberFormat="1" applyFont="1" applyFill="1" applyBorder="1" applyProtection="1"/>
    <xf numFmtId="168"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1" fontId="9" fillId="0" borderId="20" xfId="0" applyNumberFormat="1" applyFont="1" applyBorder="1" applyProtection="1"/>
    <xf numFmtId="0" fontId="10" fillId="0" borderId="10" xfId="0" applyFont="1" applyBorder="1"/>
    <xf numFmtId="171" fontId="10" fillId="0" borderId="36" xfId="0" applyNumberFormat="1" applyFont="1" applyBorder="1"/>
    <xf numFmtId="171" fontId="10" fillId="0" borderId="20" xfId="0" applyNumberFormat="1" applyFont="1" applyBorder="1"/>
    <xf numFmtId="171" fontId="10" fillId="0" borderId="22" xfId="0" applyNumberFormat="1" applyFont="1" applyBorder="1"/>
    <xf numFmtId="171" fontId="9" fillId="24" borderId="38" xfId="0" applyNumberFormat="1" applyFont="1" applyFill="1" applyBorder="1" applyProtection="1">
      <protection locked="0"/>
    </xf>
    <xf numFmtId="171" fontId="9" fillId="24" borderId="39" xfId="0" applyNumberFormat="1" applyFont="1" applyFill="1" applyBorder="1" applyProtection="1">
      <protection locked="0"/>
    </xf>
    <xf numFmtId="171" fontId="9" fillId="0" borderId="39" xfId="0" applyNumberFormat="1" applyFont="1" applyBorder="1"/>
    <xf numFmtId="171" fontId="10" fillId="0" borderId="36" xfId="0" applyNumberFormat="1" applyFont="1" applyBorder="1" applyAlignment="1">
      <alignment vertical="top"/>
    </xf>
    <xf numFmtId="171" fontId="10" fillId="0" borderId="20" xfId="0" applyNumberFormat="1" applyFont="1" applyBorder="1" applyAlignment="1">
      <alignment vertical="top"/>
    </xf>
    <xf numFmtId="171" fontId="10" fillId="0" borderId="22" xfId="0" applyNumberFormat="1" applyFont="1" applyBorder="1" applyAlignment="1">
      <alignment vertical="top"/>
    </xf>
    <xf numFmtId="0" fontId="10" fillId="0" borderId="14" xfId="0" applyFont="1" applyBorder="1" applyAlignment="1">
      <alignment horizontal="center"/>
    </xf>
    <xf numFmtId="171" fontId="10" fillId="0" borderId="35" xfId="0" applyNumberFormat="1" applyFont="1" applyBorder="1"/>
    <xf numFmtId="171" fontId="10" fillId="0" borderId="16" xfId="0" applyNumberFormat="1" applyFont="1" applyBorder="1"/>
    <xf numFmtId="171"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1"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43" fontId="9" fillId="0" borderId="0" xfId="30" applyFont="1"/>
    <xf numFmtId="168"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1" fontId="9" fillId="0" borderId="20" xfId="0" applyNumberFormat="1" applyFont="1" applyFill="1" applyBorder="1"/>
    <xf numFmtId="171" fontId="9" fillId="0" borderId="36" xfId="0" applyNumberFormat="1" applyFont="1" applyFill="1" applyBorder="1" applyProtection="1">
      <protection locked="0"/>
    </xf>
    <xf numFmtId="171" fontId="9" fillId="0" borderId="20" xfId="0" applyNumberFormat="1" applyFont="1" applyFill="1" applyBorder="1" applyProtection="1">
      <protection locked="0"/>
    </xf>
    <xf numFmtId="171" fontId="9" fillId="0" borderId="22" xfId="0" applyNumberFormat="1" applyFont="1" applyFill="1" applyBorder="1" applyProtection="1">
      <protection locked="0"/>
    </xf>
    <xf numFmtId="0" fontId="9" fillId="0" borderId="23" xfId="0" applyFont="1" applyBorder="1" applyAlignment="1">
      <alignment horizontal="left" indent="1"/>
    </xf>
    <xf numFmtId="171" fontId="9" fillId="0" borderId="53" xfId="0" applyNumberFormat="1" applyFont="1" applyBorder="1"/>
    <xf numFmtId="171" fontId="9" fillId="0" borderId="25" xfId="0" applyNumberFormat="1" applyFont="1" applyBorder="1"/>
    <xf numFmtId="171" fontId="9" fillId="0" borderId="27" xfId="0" applyNumberFormat="1" applyFont="1" applyBorder="1"/>
    <xf numFmtId="171" fontId="13" fillId="0" borderId="0" xfId="0" applyNumberFormat="1" applyFont="1" applyBorder="1"/>
    <xf numFmtId="43" fontId="13" fillId="0" borderId="0" xfId="30" applyFont="1" applyBorder="1" applyAlignment="1">
      <alignment horizontal="right"/>
    </xf>
    <xf numFmtId="43"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6" applyFont="1" applyFill="1" applyBorder="1" applyAlignment="1" applyProtection="1">
      <alignment horizontal="center" vertical="center" wrapText="1"/>
    </xf>
    <xf numFmtId="9" fontId="10" fillId="0" borderId="18" xfId="46"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6" applyFont="1" applyFill="1" applyBorder="1" applyAlignment="1" applyProtection="1">
      <alignment horizontal="center" vertical="center"/>
    </xf>
    <xf numFmtId="9" fontId="9" fillId="0" borderId="40" xfId="46"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1" fontId="9" fillId="0" borderId="36" xfId="0" applyNumberFormat="1" applyFont="1" applyBorder="1" applyProtection="1"/>
    <xf numFmtId="171"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1" fontId="10" fillId="0" borderId="42" xfId="0" applyNumberFormat="1" applyFont="1" applyBorder="1" applyProtection="1"/>
    <xf numFmtId="171" fontId="10" fillId="0" borderId="43" xfId="0" applyNumberFormat="1" applyFont="1" applyBorder="1" applyProtection="1"/>
    <xf numFmtId="171"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1" fontId="10" fillId="0" borderId="56" xfId="0" applyNumberFormat="1" applyFont="1" applyBorder="1" applyProtection="1"/>
    <xf numFmtId="171" fontId="10" fillId="0" borderId="51" xfId="0" applyNumberFormat="1" applyFont="1" applyBorder="1" applyProtection="1"/>
    <xf numFmtId="171" fontId="10" fillId="0" borderId="52"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6"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1" fontId="9" fillId="0" borderId="22" xfId="0" applyNumberFormat="1" applyFont="1" applyFill="1" applyBorder="1"/>
    <xf numFmtId="171" fontId="10" fillId="0" borderId="58" xfId="0" applyNumberFormat="1" applyFont="1" applyBorder="1"/>
    <xf numFmtId="171" fontId="10" fillId="0" borderId="39" xfId="0" applyNumberFormat="1" applyFont="1" applyBorder="1"/>
    <xf numFmtId="171" fontId="10" fillId="0" borderId="40" xfId="0" applyNumberFormat="1" applyFont="1" applyBorder="1"/>
    <xf numFmtId="171" fontId="10" fillId="0" borderId="59" xfId="0" applyNumberFormat="1" applyFont="1" applyBorder="1"/>
    <xf numFmtId="171" fontId="9" fillId="0" borderId="19" xfId="0" applyNumberFormat="1" applyFont="1" applyBorder="1"/>
    <xf numFmtId="0" fontId="12" fillId="0" borderId="10" xfId="0" applyNumberFormat="1" applyFont="1" applyBorder="1"/>
    <xf numFmtId="167" fontId="13" fillId="0" borderId="19" xfId="46" applyNumberFormat="1" applyFont="1" applyFill="1" applyBorder="1" applyAlignment="1">
      <alignment horizontal="center" vertical="top" wrapText="1"/>
    </xf>
    <xf numFmtId="167" fontId="13" fillId="0" borderId="20" xfId="46" applyNumberFormat="1" applyFont="1" applyFill="1" applyBorder="1" applyAlignment="1">
      <alignment horizontal="center" vertical="top" wrapText="1"/>
    </xf>
    <xf numFmtId="167" fontId="13" fillId="26" borderId="20" xfId="46" applyNumberFormat="1" applyFont="1" applyFill="1" applyBorder="1" applyAlignment="1">
      <alignment horizontal="center" vertical="top" wrapText="1"/>
    </xf>
    <xf numFmtId="167" fontId="13" fillId="0" borderId="22" xfId="46" applyNumberFormat="1" applyFont="1" applyFill="1" applyBorder="1" applyAlignment="1">
      <alignment horizontal="center" vertical="top" wrapText="1"/>
    </xf>
    <xf numFmtId="0" fontId="12" fillId="0" borderId="11" xfId="0" applyNumberFormat="1" applyFont="1" applyBorder="1"/>
    <xf numFmtId="167" fontId="13" fillId="0" borderId="24" xfId="46" applyNumberFormat="1" applyFont="1" applyFill="1" applyBorder="1" applyAlignment="1">
      <alignment horizontal="center" vertical="top" wrapText="1"/>
    </xf>
    <xf numFmtId="167" fontId="13" fillId="0" borderId="25" xfId="46" applyNumberFormat="1" applyFont="1" applyFill="1" applyBorder="1" applyAlignment="1">
      <alignment horizontal="center" vertical="top" wrapText="1"/>
    </xf>
    <xf numFmtId="167" fontId="13" fillId="26" borderId="25" xfId="46" applyNumberFormat="1" applyFont="1" applyFill="1" applyBorder="1" applyAlignment="1">
      <alignment horizontal="center" vertical="top" wrapText="1"/>
    </xf>
    <xf numFmtId="167" fontId="13" fillId="0" borderId="27" xfId="46"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1"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1" fontId="9" fillId="0" borderId="16" xfId="0" applyNumberFormat="1" applyFont="1" applyFill="1" applyBorder="1" applyProtection="1"/>
    <xf numFmtId="171" fontId="9" fillId="0" borderId="18" xfId="0" applyNumberFormat="1" applyFont="1" applyFill="1" applyBorder="1" applyProtection="1"/>
    <xf numFmtId="171" fontId="9" fillId="0" borderId="43" xfId="0" applyNumberFormat="1" applyFont="1" applyFill="1" applyBorder="1" applyProtection="1"/>
    <xf numFmtId="171" fontId="9" fillId="0" borderId="44" xfId="0" applyNumberFormat="1" applyFont="1" applyFill="1" applyBorder="1" applyProtection="1"/>
    <xf numFmtId="0" fontId="10" fillId="0" borderId="10" xfId="0" applyNumberFormat="1" applyFont="1" applyBorder="1" applyAlignment="1" applyProtection="1">
      <alignment horizontal="left"/>
    </xf>
    <xf numFmtId="171" fontId="10" fillId="0" borderId="16" xfId="0" applyNumberFormat="1" applyFont="1" applyFill="1" applyBorder="1" applyProtection="1"/>
    <xf numFmtId="171" fontId="10" fillId="0" borderId="18" xfId="0" applyNumberFormat="1" applyFont="1" applyFill="1" applyBorder="1" applyProtection="1"/>
    <xf numFmtId="171"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1"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1"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6" applyFont="1" applyFill="1" applyBorder="1" applyAlignment="1">
      <alignment horizontal="center" vertical="center"/>
    </xf>
    <xf numFmtId="9" fontId="9" fillId="0" borderId="22" xfId="46" applyFont="1" applyFill="1" applyBorder="1" applyAlignment="1">
      <alignment horizontal="center" vertical="center"/>
    </xf>
    <xf numFmtId="171"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1" fontId="9" fillId="0" borderId="46" xfId="0" applyNumberFormat="1" applyFont="1" applyBorder="1"/>
    <xf numFmtId="171" fontId="9" fillId="0" borderId="11" xfId="0" applyNumberFormat="1" applyFont="1" applyBorder="1"/>
    <xf numFmtId="0" fontId="9" fillId="0" borderId="60" xfId="0" applyFont="1" applyBorder="1" applyAlignment="1">
      <alignment horizontal="center"/>
    </xf>
    <xf numFmtId="171" fontId="9" fillId="24" borderId="61" xfId="0" applyNumberFormat="1" applyFont="1" applyFill="1" applyBorder="1" applyProtection="1">
      <protection locked="0"/>
    </xf>
    <xf numFmtId="171" fontId="9" fillId="24" borderId="30" xfId="0" applyNumberFormat="1" applyFont="1" applyFill="1" applyBorder="1" applyProtection="1">
      <protection locked="0"/>
    </xf>
    <xf numFmtId="171" fontId="9" fillId="0" borderId="30" xfId="0" applyNumberFormat="1" applyFont="1" applyBorder="1"/>
    <xf numFmtId="171" fontId="9" fillId="24" borderId="32" xfId="0" applyNumberFormat="1" applyFont="1" applyFill="1" applyBorder="1" applyProtection="1">
      <protection locked="0"/>
    </xf>
    <xf numFmtId="171" fontId="9" fillId="24" borderId="24" xfId="0" applyNumberFormat="1" applyFont="1" applyFill="1" applyBorder="1" applyProtection="1">
      <protection locked="0"/>
    </xf>
    <xf numFmtId="171" fontId="9" fillId="24" borderId="25" xfId="0" applyNumberFormat="1" applyFont="1" applyFill="1" applyBorder="1" applyProtection="1">
      <protection locked="0"/>
    </xf>
    <xf numFmtId="171" fontId="9" fillId="24" borderId="27" xfId="0" applyNumberFormat="1" applyFont="1" applyFill="1" applyBorder="1" applyProtection="1">
      <protection locked="0"/>
    </xf>
    <xf numFmtId="0" fontId="13" fillId="0" borderId="0" xfId="0" applyFont="1" applyAlignment="1">
      <alignment horizontal="right"/>
    </xf>
    <xf numFmtId="43"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1" fontId="9" fillId="24" borderId="53" xfId="0" applyNumberFormat="1" applyFont="1" applyFill="1" applyBorder="1" applyProtection="1">
      <protection locked="0"/>
    </xf>
    <xf numFmtId="166"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7" fontId="13" fillId="0" borderId="21" xfId="46"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7" fontId="9" fillId="24" borderId="20" xfId="46" applyNumberFormat="1" applyFont="1" applyFill="1" applyBorder="1" applyAlignment="1" applyProtection="1">
      <alignment horizontal="center" vertical="top" wrapText="1"/>
      <protection locked="0"/>
    </xf>
    <xf numFmtId="167" fontId="9" fillId="0" borderId="20" xfId="46" applyNumberFormat="1" applyFont="1" applyFill="1" applyBorder="1" applyAlignment="1">
      <alignment horizontal="center" vertical="top" wrapText="1"/>
    </xf>
    <xf numFmtId="167" fontId="9" fillId="0" borderId="21" xfId="46" applyNumberFormat="1" applyFont="1" applyFill="1" applyBorder="1" applyAlignment="1">
      <alignment horizontal="center" vertical="top" wrapText="1"/>
    </xf>
    <xf numFmtId="167" fontId="9" fillId="0" borderId="22" xfId="46" applyNumberFormat="1" applyFont="1" applyFill="1" applyBorder="1" applyAlignment="1">
      <alignment horizontal="center" vertical="top" wrapText="1"/>
    </xf>
    <xf numFmtId="167" fontId="9" fillId="24" borderId="19" xfId="46" applyNumberFormat="1" applyFont="1" applyFill="1" applyBorder="1" applyAlignment="1" applyProtection="1">
      <alignment horizontal="center" vertical="top" wrapText="1"/>
      <protection locked="0"/>
    </xf>
    <xf numFmtId="167" fontId="9" fillId="26" borderId="21" xfId="46" applyNumberFormat="1" applyFont="1" applyFill="1" applyBorder="1" applyAlignment="1">
      <alignment horizontal="center" vertical="top" wrapText="1"/>
    </xf>
    <xf numFmtId="167" fontId="9" fillId="26" borderId="22" xfId="46" applyNumberFormat="1" applyFont="1" applyFill="1" applyBorder="1" applyAlignment="1">
      <alignment horizontal="center" vertical="top" wrapText="1"/>
    </xf>
    <xf numFmtId="167" fontId="9" fillId="24" borderId="21" xfId="46" applyNumberFormat="1" applyFont="1" applyFill="1" applyBorder="1" applyAlignment="1" applyProtection="1">
      <alignment horizontal="center" vertical="top" wrapText="1"/>
      <protection locked="0"/>
    </xf>
    <xf numFmtId="167" fontId="9" fillId="24" borderId="22" xfId="46" applyNumberFormat="1" applyFont="1" applyFill="1" applyBorder="1" applyAlignment="1" applyProtection="1">
      <alignment horizontal="center" vertical="top" wrapText="1"/>
      <protection locked="0"/>
    </xf>
    <xf numFmtId="167" fontId="9" fillId="24" borderId="36" xfId="46"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6" applyNumberFormat="1" applyFont="1" applyFill="1" applyBorder="1" applyAlignment="1">
      <alignment horizontal="center" vertical="top" wrapText="1"/>
    </xf>
    <xf numFmtId="168" fontId="9" fillId="0" borderId="0" xfId="30" applyNumberFormat="1" applyFont="1" applyFill="1" applyBorder="1"/>
    <xf numFmtId="168"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5" fontId="9" fillId="0" borderId="19" xfId="30" applyNumberFormat="1" applyFont="1" applyFill="1" applyBorder="1" applyAlignment="1" applyProtection="1">
      <alignment horizontal="left" vertical="top" wrapText="1"/>
    </xf>
    <xf numFmtId="165"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2" fontId="9" fillId="24" borderId="19" xfId="30" applyNumberFormat="1" applyFont="1" applyFill="1" applyBorder="1" applyAlignment="1" applyProtection="1">
      <alignment horizontal="left" vertical="top" wrapText="1"/>
      <protection locked="0"/>
    </xf>
    <xf numFmtId="172" fontId="9" fillId="24" borderId="20" xfId="30" applyNumberFormat="1" applyFont="1" applyFill="1" applyBorder="1" applyAlignment="1" applyProtection="1">
      <alignment horizontal="left" vertical="top" wrapText="1"/>
      <protection locked="0"/>
    </xf>
    <xf numFmtId="172" fontId="9" fillId="24" borderId="20" xfId="46" applyNumberFormat="1" applyFont="1" applyFill="1" applyBorder="1" applyAlignment="1" applyProtection="1">
      <alignment horizontal="center" vertical="top" wrapText="1"/>
      <protection locked="0"/>
    </xf>
    <xf numFmtId="172" fontId="9" fillId="24" borderId="21" xfId="46" applyNumberFormat="1" applyFont="1" applyFill="1" applyBorder="1" applyAlignment="1" applyProtection="1">
      <alignment horizontal="center" vertical="top" wrapText="1"/>
      <protection locked="0"/>
    </xf>
    <xf numFmtId="172" fontId="9" fillId="24" borderId="19" xfId="46" applyNumberFormat="1" applyFont="1" applyFill="1" applyBorder="1" applyAlignment="1" applyProtection="1">
      <alignment horizontal="center" vertical="top" wrapText="1"/>
      <protection locked="0"/>
    </xf>
    <xf numFmtId="172" fontId="9" fillId="24" borderId="22" xfId="46" applyNumberFormat="1" applyFont="1" applyFill="1" applyBorder="1" applyAlignment="1" applyProtection="1">
      <alignment horizontal="center" vertical="top" wrapText="1"/>
      <protection locked="0"/>
    </xf>
    <xf numFmtId="172" fontId="9" fillId="0" borderId="19" xfId="30" applyNumberFormat="1" applyFont="1" applyFill="1" applyBorder="1" applyAlignment="1" applyProtection="1">
      <alignment horizontal="left" vertical="top" wrapText="1"/>
    </xf>
    <xf numFmtId="172" fontId="9" fillId="0" borderId="20" xfId="30" applyNumberFormat="1" applyFont="1" applyFill="1" applyBorder="1" applyAlignment="1" applyProtection="1">
      <alignment horizontal="left" vertical="top" wrapText="1"/>
    </xf>
    <xf numFmtId="172" fontId="9" fillId="0" borderId="20" xfId="0" applyNumberFormat="1" applyFont="1" applyFill="1" applyBorder="1" applyAlignment="1" applyProtection="1">
      <alignment horizontal="center" vertical="top" wrapText="1"/>
    </xf>
    <xf numFmtId="172" fontId="9" fillId="0" borderId="21" xfId="0" applyNumberFormat="1" applyFont="1" applyFill="1" applyBorder="1" applyAlignment="1" applyProtection="1">
      <alignment horizontal="center" vertical="top" wrapText="1"/>
    </xf>
    <xf numFmtId="172" fontId="9" fillId="0" borderId="19" xfId="0" applyNumberFormat="1" applyFont="1" applyFill="1" applyBorder="1" applyAlignment="1" applyProtection="1">
      <alignment horizontal="center" vertical="top" wrapText="1"/>
    </xf>
    <xf numFmtId="172" fontId="9" fillId="0" borderId="22" xfId="0" applyNumberFormat="1" applyFont="1" applyFill="1" applyBorder="1" applyAlignment="1" applyProtection="1">
      <alignment horizontal="center" vertical="top" wrapText="1"/>
    </xf>
    <xf numFmtId="165" fontId="9" fillId="24" borderId="19" xfId="30" applyNumberFormat="1" applyFont="1" applyFill="1" applyBorder="1" applyAlignment="1" applyProtection="1">
      <alignment horizontal="left" vertical="top" wrapText="1"/>
      <protection locked="0"/>
    </xf>
    <xf numFmtId="165"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5" fontId="9" fillId="0" borderId="58" xfId="30" applyNumberFormat="1" applyFont="1" applyFill="1" applyBorder="1" applyAlignment="1" applyProtection="1">
      <alignment horizontal="left" vertical="top" wrapText="1"/>
    </xf>
    <xf numFmtId="165"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5" fontId="9" fillId="24" borderId="58" xfId="30" applyNumberFormat="1" applyFont="1" applyFill="1" applyBorder="1" applyAlignment="1" applyProtection="1">
      <alignment horizontal="left" vertical="top" wrapText="1"/>
      <protection locked="0"/>
    </xf>
    <xf numFmtId="165" fontId="9" fillId="24" borderId="39" xfId="30" applyNumberFormat="1" applyFont="1" applyFill="1" applyBorder="1" applyAlignment="1" applyProtection="1">
      <alignment horizontal="left" vertical="top" wrapText="1"/>
      <protection locked="0"/>
    </xf>
    <xf numFmtId="165" fontId="9" fillId="24" borderId="39" xfId="30" applyNumberFormat="1" applyFont="1" applyFill="1" applyBorder="1" applyProtection="1">
      <protection locked="0"/>
    </xf>
    <xf numFmtId="165" fontId="9" fillId="24" borderId="63" xfId="30" applyNumberFormat="1" applyFont="1" applyFill="1" applyBorder="1" applyProtection="1">
      <protection locked="0"/>
    </xf>
    <xf numFmtId="165" fontId="9" fillId="24" borderId="58" xfId="30" applyNumberFormat="1" applyFont="1" applyFill="1" applyBorder="1" applyProtection="1">
      <protection locked="0"/>
    </xf>
    <xf numFmtId="165" fontId="9" fillId="24" borderId="40" xfId="30" applyNumberFormat="1" applyFont="1" applyFill="1" applyBorder="1" applyProtection="1">
      <protection locked="0"/>
    </xf>
    <xf numFmtId="165" fontId="9" fillId="24" borderId="20" xfId="30" applyNumberFormat="1" applyFont="1" applyFill="1" applyBorder="1" applyAlignment="1" applyProtection="1">
      <alignment horizontal="center" vertical="top" wrapText="1"/>
      <protection locked="0"/>
    </xf>
    <xf numFmtId="165" fontId="9" fillId="24" borderId="21" xfId="30" applyNumberFormat="1" applyFont="1" applyFill="1" applyBorder="1" applyAlignment="1" applyProtection="1">
      <alignment horizontal="center" vertical="top" wrapText="1"/>
      <protection locked="0"/>
    </xf>
    <xf numFmtId="165" fontId="9" fillId="24" borderId="19"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center" vertical="top" wrapText="1"/>
      <protection locked="0"/>
    </xf>
    <xf numFmtId="165" fontId="9" fillId="24" borderId="39" xfId="30" applyNumberFormat="1" applyFont="1" applyFill="1" applyBorder="1" applyAlignment="1" applyProtection="1">
      <alignment horizontal="center" vertical="top" wrapText="1"/>
      <protection locked="0"/>
    </xf>
    <xf numFmtId="165" fontId="9" fillId="24" borderId="63" xfId="30" applyNumberFormat="1" applyFont="1" applyFill="1" applyBorder="1" applyAlignment="1" applyProtection="1">
      <alignment horizontal="center" vertical="top" wrapText="1"/>
      <protection locked="0"/>
    </xf>
    <xf numFmtId="165" fontId="9" fillId="24" borderId="58" xfId="30" applyNumberFormat="1" applyFont="1" applyFill="1" applyBorder="1" applyAlignment="1" applyProtection="1">
      <alignment horizontal="center" vertical="top" wrapText="1"/>
      <protection locked="0"/>
    </xf>
    <xf numFmtId="165"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5" fontId="9" fillId="0" borderId="20" xfId="30" applyNumberFormat="1" applyFont="1" applyFill="1" applyBorder="1" applyAlignment="1" applyProtection="1">
      <alignment horizontal="center" vertical="top" wrapText="1"/>
    </xf>
    <xf numFmtId="165" fontId="9" fillId="0" borderId="21" xfId="30" applyNumberFormat="1" applyFont="1" applyFill="1" applyBorder="1" applyAlignment="1" applyProtection="1">
      <alignment horizontal="center" vertical="top" wrapText="1"/>
    </xf>
    <xf numFmtId="165" fontId="9" fillId="0" borderId="19" xfId="30" applyNumberFormat="1" applyFont="1" applyFill="1" applyBorder="1" applyAlignment="1" applyProtection="1">
      <alignment horizontal="center" vertical="top" wrapText="1"/>
    </xf>
    <xf numFmtId="165"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5" fontId="9" fillId="0" borderId="64"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center" vertical="top" wrapText="1"/>
    </xf>
    <xf numFmtId="165" fontId="9" fillId="0" borderId="62" xfId="30" applyNumberFormat="1" applyFont="1" applyFill="1" applyBorder="1" applyAlignment="1" applyProtection="1">
      <alignment horizontal="center" vertical="top" wrapText="1"/>
    </xf>
    <xf numFmtId="165" fontId="9" fillId="0" borderId="64" xfId="30" applyNumberFormat="1" applyFont="1" applyFill="1" applyBorder="1" applyAlignment="1" applyProtection="1">
      <alignment horizontal="center" vertical="top" wrapText="1"/>
    </xf>
    <xf numFmtId="165"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5" fontId="9" fillId="0" borderId="19" xfId="30" applyNumberFormat="1" applyFont="1" applyBorder="1" applyAlignment="1" applyProtection="1">
      <alignment horizontal="left" vertical="top" wrapText="1"/>
    </xf>
    <xf numFmtId="165" fontId="9" fillId="0" borderId="20" xfId="30" applyNumberFormat="1" applyFont="1" applyBorder="1" applyAlignment="1" applyProtection="1">
      <alignment horizontal="left" vertical="top" wrapText="1"/>
    </xf>
    <xf numFmtId="167" fontId="9" fillId="0" borderId="20" xfId="0" applyNumberFormat="1" applyFont="1" applyFill="1" applyBorder="1" applyAlignment="1" applyProtection="1">
      <alignment horizontal="center" vertical="top" wrapText="1"/>
    </xf>
    <xf numFmtId="167"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5" fontId="9" fillId="26" borderId="19" xfId="30" applyNumberFormat="1" applyFont="1" applyFill="1" applyBorder="1" applyAlignment="1" applyProtection="1">
      <alignment horizontal="left" vertical="top" wrapText="1"/>
    </xf>
    <xf numFmtId="165" fontId="9" fillId="26" borderId="20" xfId="30" applyNumberFormat="1" applyFont="1" applyFill="1" applyBorder="1" applyAlignment="1" applyProtection="1">
      <alignment horizontal="left" vertical="top" wrapText="1"/>
    </xf>
    <xf numFmtId="167" fontId="9" fillId="24" borderId="20" xfId="0" applyNumberFormat="1" applyFont="1" applyFill="1" applyBorder="1" applyAlignment="1" applyProtection="1">
      <alignment horizontal="center" vertical="top" wrapText="1"/>
      <protection locked="0"/>
    </xf>
    <xf numFmtId="167" fontId="9" fillId="24" borderId="21" xfId="0" applyNumberFormat="1" applyFont="1" applyFill="1" applyBorder="1" applyAlignment="1" applyProtection="1">
      <alignment horizontal="center" vertical="top" wrapText="1"/>
      <protection locked="0"/>
    </xf>
    <xf numFmtId="167" fontId="9" fillId="24" borderId="19" xfId="0" applyNumberFormat="1" applyFont="1" applyFill="1" applyBorder="1" applyAlignment="1" applyProtection="1">
      <alignment horizontal="center" vertical="top" wrapText="1"/>
      <protection locked="0"/>
    </xf>
    <xf numFmtId="167" fontId="9" fillId="24" borderId="22" xfId="0" applyNumberFormat="1" applyFont="1" applyFill="1" applyBorder="1" applyAlignment="1" applyProtection="1">
      <alignment horizontal="center" vertical="top" wrapText="1"/>
      <protection locked="0"/>
    </xf>
    <xf numFmtId="165" fontId="11" fillId="26" borderId="19" xfId="30" applyNumberFormat="1" applyFont="1" applyFill="1" applyBorder="1" applyAlignment="1" applyProtection="1">
      <alignment horizontal="left" vertical="top" wrapText="1"/>
    </xf>
    <xf numFmtId="165" fontId="11" fillId="26" borderId="20" xfId="30" applyNumberFormat="1" applyFont="1" applyFill="1" applyBorder="1" applyAlignment="1" applyProtection="1">
      <alignment horizontal="left" vertical="top" wrapText="1"/>
    </xf>
    <xf numFmtId="167" fontId="9" fillId="24" borderId="20" xfId="30" applyNumberFormat="1" applyFont="1" applyFill="1" applyBorder="1" applyAlignment="1" applyProtection="1">
      <alignment horizontal="center" vertical="top" wrapText="1"/>
      <protection locked="0"/>
    </xf>
    <xf numFmtId="167" fontId="9" fillId="24" borderId="21" xfId="30" applyNumberFormat="1" applyFont="1" applyFill="1" applyBorder="1" applyAlignment="1" applyProtection="1">
      <alignment horizontal="center" vertical="top" wrapText="1"/>
      <protection locked="0"/>
    </xf>
    <xf numFmtId="167" fontId="9" fillId="24" borderId="19" xfId="30" applyNumberFormat="1" applyFont="1" applyFill="1" applyBorder="1" applyAlignment="1" applyProtection="1">
      <alignment horizontal="center" vertical="top" wrapText="1"/>
      <protection locked="0"/>
    </xf>
    <xf numFmtId="167"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7" fontId="9" fillId="0" borderId="21" xfId="0" applyNumberFormat="1" applyFont="1" applyFill="1" applyBorder="1" applyAlignment="1" applyProtection="1">
      <alignment horizontal="center" vertical="top" wrapText="1"/>
    </xf>
    <xf numFmtId="167" fontId="9" fillId="0" borderId="19" xfId="0" applyNumberFormat="1" applyFont="1" applyFill="1" applyBorder="1" applyAlignment="1" applyProtection="1">
      <alignment horizontal="center" vertical="top" wrapText="1"/>
    </xf>
    <xf numFmtId="167"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5" fontId="9" fillId="0" borderId="24" xfId="30" applyNumberFormat="1" applyFont="1" applyBorder="1" applyAlignment="1" applyProtection="1">
      <alignment horizontal="left" vertical="top" wrapText="1"/>
    </xf>
    <xf numFmtId="165" fontId="9" fillId="0" borderId="25" xfId="30" applyNumberFormat="1" applyFont="1" applyBorder="1" applyAlignment="1" applyProtection="1">
      <alignment horizontal="left" vertical="top" wrapText="1"/>
    </xf>
    <xf numFmtId="166" fontId="9" fillId="0" borderId="25" xfId="30" applyNumberFormat="1" applyFont="1" applyBorder="1" applyAlignment="1" applyProtection="1">
      <alignment vertical="top" wrapText="1"/>
    </xf>
    <xf numFmtId="166" fontId="9" fillId="0" borderId="26" xfId="30" applyNumberFormat="1" applyFont="1" applyBorder="1" applyAlignment="1" applyProtection="1">
      <alignment vertical="top" wrapText="1"/>
    </xf>
    <xf numFmtId="166" fontId="9" fillId="0" borderId="24" xfId="30" applyNumberFormat="1" applyFont="1" applyFill="1" applyBorder="1" applyAlignment="1" applyProtection="1">
      <alignment vertical="top" wrapText="1"/>
    </xf>
    <xf numFmtId="166" fontId="9" fillId="0" borderId="25" xfId="30" applyNumberFormat="1" applyFont="1" applyFill="1" applyBorder="1" applyAlignment="1" applyProtection="1">
      <alignment vertical="top" wrapText="1"/>
    </xf>
    <xf numFmtId="166" fontId="9" fillId="0" borderId="27" xfId="30" applyNumberFormat="1" applyFont="1" applyFill="1" applyBorder="1" applyAlignment="1" applyProtection="1">
      <alignment vertical="top" wrapText="1"/>
    </xf>
    <xf numFmtId="168" fontId="9" fillId="0" borderId="0" xfId="0" applyNumberFormat="1" applyFont="1" applyBorder="1" applyProtection="1"/>
    <xf numFmtId="168" fontId="9" fillId="0" borderId="0" xfId="30" applyNumberFormat="1" applyFont="1" applyProtection="1"/>
    <xf numFmtId="168"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1" fontId="9" fillId="0" borderId="21" xfId="0" applyNumberFormat="1" applyFont="1" applyFill="1" applyBorder="1"/>
    <xf numFmtId="0" fontId="9" fillId="24" borderId="19" xfId="0" applyFont="1" applyFill="1" applyBorder="1" applyAlignment="1" applyProtection="1">
      <alignment horizontal="center"/>
      <protection locked="0"/>
    </xf>
    <xf numFmtId="167" fontId="9" fillId="0" borderId="20" xfId="46" applyNumberFormat="1" applyFont="1" applyFill="1" applyBorder="1" applyAlignment="1" applyProtection="1">
      <alignment horizontal="center" vertical="top" wrapText="1"/>
    </xf>
    <xf numFmtId="9" fontId="9" fillId="0" borderId="14" xfId="46" applyFont="1" applyBorder="1" applyAlignment="1">
      <alignment horizontal="center"/>
    </xf>
    <xf numFmtId="9" fontId="9" fillId="0" borderId="45" xfId="46" applyFont="1" applyBorder="1" applyAlignment="1">
      <alignment horizontal="center"/>
    </xf>
    <xf numFmtId="167" fontId="9" fillId="24" borderId="24" xfId="46" applyNumberFormat="1" applyFont="1" applyFill="1" applyBorder="1" applyAlignment="1" applyProtection="1">
      <alignment horizontal="center" vertical="top" wrapText="1"/>
      <protection locked="0"/>
    </xf>
    <xf numFmtId="167" fontId="9" fillId="24" borderId="25" xfId="46" applyNumberFormat="1" applyFont="1" applyFill="1" applyBorder="1" applyAlignment="1" applyProtection="1">
      <alignment horizontal="center" vertical="top" wrapText="1"/>
      <protection locked="0"/>
    </xf>
    <xf numFmtId="167" fontId="9" fillId="0" borderId="25" xfId="46" applyNumberFormat="1" applyFont="1" applyFill="1" applyBorder="1" applyAlignment="1">
      <alignment horizontal="center" vertical="top" wrapText="1"/>
    </xf>
    <xf numFmtId="167" fontId="9" fillId="0" borderId="26" xfId="46" applyNumberFormat="1" applyFont="1" applyFill="1" applyBorder="1" applyAlignment="1">
      <alignment horizontal="center" vertical="top" wrapText="1"/>
    </xf>
    <xf numFmtId="167" fontId="9" fillId="0" borderId="27" xfId="46" applyNumberFormat="1" applyFont="1" applyFill="1" applyBorder="1" applyAlignment="1">
      <alignment horizontal="center" vertical="top" wrapText="1"/>
    </xf>
    <xf numFmtId="9" fontId="9" fillId="0" borderId="0" xfId="46"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1" fontId="10" fillId="0" borderId="19" xfId="0" applyNumberFormat="1" applyFont="1" applyBorder="1"/>
    <xf numFmtId="0" fontId="9" fillId="24" borderId="10" xfId="0" applyFont="1" applyFill="1" applyBorder="1" applyAlignment="1" applyProtection="1">
      <alignment horizontal="left" indent="1"/>
      <protection locked="0"/>
    </xf>
    <xf numFmtId="171" fontId="9" fillId="24" borderId="15" xfId="0" applyNumberFormat="1" applyFont="1" applyFill="1" applyBorder="1" applyProtection="1">
      <protection locked="0"/>
    </xf>
    <xf numFmtId="171" fontId="9" fillId="24" borderId="16" xfId="0" applyNumberFormat="1" applyFont="1" applyFill="1" applyBorder="1" applyProtection="1">
      <protection locked="0"/>
    </xf>
    <xf numFmtId="171" fontId="9" fillId="0" borderId="16" xfId="0" applyNumberFormat="1" applyFont="1" applyBorder="1"/>
    <xf numFmtId="171" fontId="9" fillId="24" borderId="18" xfId="0" applyNumberFormat="1" applyFont="1" applyFill="1" applyBorder="1" applyProtection="1">
      <protection locked="0"/>
    </xf>
    <xf numFmtId="171" fontId="9" fillId="24" borderId="58" xfId="0" applyNumberFormat="1" applyFont="1" applyFill="1" applyBorder="1" applyProtection="1">
      <protection locked="0"/>
    </xf>
    <xf numFmtId="171" fontId="9" fillId="24" borderId="35" xfId="0" applyNumberFormat="1" applyFont="1" applyFill="1" applyBorder="1" applyProtection="1">
      <protection locked="0"/>
    </xf>
    <xf numFmtId="0" fontId="10" fillId="0" borderId="57" xfId="0" applyNumberFormat="1" applyFont="1" applyBorder="1" applyAlignment="1">
      <alignment vertical="center"/>
    </xf>
    <xf numFmtId="171"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43" fontId="13" fillId="0" borderId="0" xfId="30" applyFont="1" applyBorder="1"/>
    <xf numFmtId="168"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6"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1" fontId="9" fillId="0" borderId="21" xfId="0" applyNumberFormat="1" applyFont="1" applyBorder="1"/>
    <xf numFmtId="171" fontId="9" fillId="26" borderId="20" xfId="0" applyNumberFormat="1" applyFont="1" applyFill="1" applyBorder="1"/>
    <xf numFmtId="167" fontId="9" fillId="0" borderId="14" xfId="46" applyNumberFormat="1" applyFont="1" applyBorder="1" applyAlignment="1">
      <alignment horizontal="center"/>
    </xf>
    <xf numFmtId="171" fontId="10" fillId="26" borderId="16" xfId="0" applyNumberFormat="1" applyFont="1" applyFill="1" applyBorder="1"/>
    <xf numFmtId="167" fontId="10" fillId="0" borderId="14" xfId="46" applyNumberFormat="1" applyFont="1" applyBorder="1" applyAlignment="1">
      <alignment horizontal="center"/>
    </xf>
    <xf numFmtId="171" fontId="10" fillId="26" borderId="36" xfId="0" applyNumberFormat="1" applyFont="1" applyFill="1" applyBorder="1"/>
    <xf numFmtId="171" fontId="10" fillId="26" borderId="20" xfId="0" applyNumberFormat="1" applyFont="1" applyFill="1" applyBorder="1"/>
    <xf numFmtId="171" fontId="10" fillId="26" borderId="21" xfId="0" applyNumberFormat="1" applyFont="1" applyFill="1" applyBorder="1"/>
    <xf numFmtId="171" fontId="10" fillId="0" borderId="21" xfId="0" applyNumberFormat="1" applyFont="1" applyBorder="1"/>
    <xf numFmtId="171" fontId="10" fillId="0" borderId="38" xfId="0" applyNumberFormat="1" applyFont="1" applyBorder="1"/>
    <xf numFmtId="171" fontId="10" fillId="0" borderId="63" xfId="0" applyNumberFormat="1" applyFont="1" applyBorder="1"/>
    <xf numFmtId="171" fontId="10" fillId="0" borderId="62" xfId="0" applyNumberFormat="1" applyFont="1" applyBorder="1"/>
    <xf numFmtId="171" fontId="9" fillId="0" borderId="18" xfId="0" applyNumberFormat="1" applyFont="1" applyBorder="1"/>
    <xf numFmtId="171" fontId="10" fillId="0" borderId="17" xfId="0" applyNumberFormat="1" applyFont="1" applyBorder="1"/>
    <xf numFmtId="171" fontId="10" fillId="0" borderId="67" xfId="0" applyNumberFormat="1" applyFont="1" applyBorder="1"/>
    <xf numFmtId="167" fontId="10" fillId="0" borderId="45" xfId="46"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6" applyFont="1" applyFill="1" applyBorder="1" applyAlignment="1">
      <alignment horizontal="center" vertical="center" wrapText="1"/>
    </xf>
    <xf numFmtId="9" fontId="10" fillId="0" borderId="62" xfId="46" applyFont="1" applyFill="1" applyBorder="1" applyAlignment="1">
      <alignment horizontal="center" vertical="center" wrapText="1"/>
    </xf>
    <xf numFmtId="9" fontId="10" fillId="0" borderId="43" xfId="46"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1" fontId="9" fillId="0" borderId="14" xfId="0" applyNumberFormat="1" applyFont="1" applyBorder="1"/>
    <xf numFmtId="0" fontId="10" fillId="0" borderId="14" xfId="0" applyFont="1" applyBorder="1"/>
    <xf numFmtId="171" fontId="10" fillId="0" borderId="49" xfId="0" applyNumberFormat="1" applyFont="1" applyBorder="1"/>
    <xf numFmtId="171" fontId="10" fillId="0" borderId="55"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1" fontId="9" fillId="0" borderId="17" xfId="0" applyNumberFormat="1" applyFont="1" applyBorder="1"/>
    <xf numFmtId="171" fontId="9" fillId="0" borderId="49" xfId="0" applyNumberFormat="1" applyFont="1" applyBorder="1"/>
    <xf numFmtId="171" fontId="10" fillId="0" borderId="14" xfId="0" applyNumberFormat="1" applyFont="1" applyBorder="1"/>
    <xf numFmtId="171" fontId="9" fillId="24" borderId="21" xfId="30" applyNumberFormat="1" applyFont="1" applyFill="1" applyBorder="1" applyProtection="1">
      <protection locked="0"/>
    </xf>
    <xf numFmtId="171"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1"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1" fontId="10" fillId="0" borderId="48" xfId="0" applyNumberFormat="1" applyFont="1" applyBorder="1"/>
    <xf numFmtId="0" fontId="9" fillId="0" borderId="23" xfId="0" applyFont="1" applyFill="1" applyBorder="1" applyAlignment="1">
      <alignment horizontal="left" indent="1"/>
    </xf>
    <xf numFmtId="171" fontId="9" fillId="0" borderId="24" xfId="0" applyNumberFormat="1" applyFont="1" applyBorder="1"/>
    <xf numFmtId="171" fontId="9" fillId="0" borderId="26" xfId="0" applyNumberFormat="1" applyFont="1" applyBorder="1"/>
    <xf numFmtId="171" fontId="9" fillId="0" borderId="45" xfId="0" applyNumberFormat="1" applyFont="1" applyBorder="1"/>
    <xf numFmtId="0" fontId="10" fillId="0" borderId="61" xfId="0" applyFont="1" applyFill="1" applyBorder="1" applyAlignment="1">
      <alignment horizontal="centerContinuous" vertical="center" wrapText="1"/>
    </xf>
    <xf numFmtId="171" fontId="10" fillId="0" borderId="35" xfId="0" applyNumberFormat="1" applyFont="1" applyFill="1" applyBorder="1"/>
    <xf numFmtId="171" fontId="10" fillId="0" borderId="16" xfId="0" applyNumberFormat="1" applyFont="1" applyFill="1" applyBorder="1"/>
    <xf numFmtId="171" fontId="10" fillId="0" borderId="17" xfId="0" applyNumberFormat="1" applyFont="1" applyFill="1" applyBorder="1"/>
    <xf numFmtId="171" fontId="10" fillId="0" borderId="15" xfId="0" applyNumberFormat="1" applyFont="1" applyFill="1" applyBorder="1"/>
    <xf numFmtId="171" fontId="9" fillId="0" borderId="18" xfId="0" applyNumberFormat="1" applyFont="1" applyFill="1" applyBorder="1"/>
    <xf numFmtId="171" fontId="9" fillId="0" borderId="49" xfId="0" applyNumberFormat="1" applyFont="1" applyFill="1" applyBorder="1"/>
    <xf numFmtId="171" fontId="9" fillId="0" borderId="15" xfId="0" applyNumberFormat="1" applyFont="1" applyFill="1" applyBorder="1"/>
    <xf numFmtId="171" fontId="9" fillId="0" borderId="16" xfId="0" applyNumberFormat="1" applyFont="1" applyFill="1" applyBorder="1"/>
    <xf numFmtId="171" fontId="9" fillId="0" borderId="19" xfId="0" applyNumberFormat="1" applyFont="1" applyFill="1" applyBorder="1" applyProtection="1">
      <protection locked="0"/>
    </xf>
    <xf numFmtId="171"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2"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1" fontId="10" fillId="0" borderId="29" xfId="0" applyNumberFormat="1" applyFont="1" applyFill="1" applyBorder="1" applyAlignment="1">
      <alignment horizontal="center"/>
    </xf>
    <xf numFmtId="171" fontId="10" fillId="0" borderId="31" xfId="0" applyNumberFormat="1" applyFont="1" applyFill="1" applyBorder="1" applyAlignment="1">
      <alignment horizontal="center"/>
    </xf>
    <xf numFmtId="171" fontId="10" fillId="0" borderId="32" xfId="0" applyNumberFormat="1" applyFont="1" applyFill="1" applyBorder="1" applyAlignment="1">
      <alignment horizontal="center"/>
    </xf>
    <xf numFmtId="171"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2" fontId="10" fillId="24" borderId="20" xfId="30" applyNumberFormat="1" applyFont="1" applyFill="1" applyBorder="1" applyAlignment="1" applyProtection="1">
      <alignment horizontal="center"/>
      <protection locked="0"/>
    </xf>
    <xf numFmtId="171" fontId="10" fillId="24" borderId="19" xfId="0" applyNumberFormat="1" applyFont="1" applyFill="1" applyBorder="1" applyAlignment="1" applyProtection="1">
      <alignment horizontal="center"/>
      <protection locked="0"/>
    </xf>
    <xf numFmtId="171" fontId="10" fillId="24" borderId="21" xfId="0" applyNumberFormat="1" applyFont="1" applyFill="1" applyBorder="1" applyAlignment="1" applyProtection="1">
      <alignment horizontal="center"/>
      <protection locked="0"/>
    </xf>
    <xf numFmtId="171" fontId="10" fillId="24" borderId="22" xfId="0" applyNumberFormat="1" applyFont="1" applyFill="1" applyBorder="1" applyAlignment="1" applyProtection="1">
      <alignment horizontal="center"/>
      <protection locked="0"/>
    </xf>
    <xf numFmtId="171" fontId="10" fillId="24" borderId="36" xfId="0" applyNumberFormat="1" applyFont="1" applyFill="1" applyBorder="1" applyAlignment="1" applyProtection="1">
      <alignment horizontal="center"/>
      <protection locked="0"/>
    </xf>
    <xf numFmtId="0" fontId="10" fillId="24" borderId="10" xfId="0" applyNumberFormat="1" applyFont="1" applyFill="1" applyBorder="1" applyProtection="1">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2"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2" fontId="9" fillId="24" borderId="39" xfId="30" applyNumberFormat="1" applyFont="1" applyFill="1" applyBorder="1" applyAlignment="1" applyProtection="1">
      <alignment horizontal="center"/>
      <protection locked="0"/>
    </xf>
    <xf numFmtId="171" fontId="9" fillId="24" borderId="63"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2" fontId="9" fillId="0" borderId="20" xfId="30" applyNumberFormat="1" applyFont="1" applyFill="1" applyBorder="1" applyAlignment="1">
      <alignment horizontal="center"/>
    </xf>
    <xf numFmtId="171"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2" fontId="9" fillId="24" borderId="25" xfId="30" applyNumberFormat="1" applyFont="1" applyFill="1" applyBorder="1" applyAlignment="1" applyProtection="1">
      <alignment horizontal="center"/>
      <protection locked="0"/>
    </xf>
    <xf numFmtId="171"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6" applyFont="1" applyFill="1" applyBorder="1" applyAlignment="1">
      <alignment horizontal="center" vertical="center" wrapText="1"/>
    </xf>
    <xf numFmtId="9" fontId="10" fillId="0" borderId="22" xfId="46"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1" fontId="10" fillId="0" borderId="42" xfId="0" applyNumberFormat="1" applyFont="1" applyBorder="1" applyAlignment="1">
      <alignment vertical="top"/>
    </xf>
    <xf numFmtId="171" fontId="10" fillId="0" borderId="43" xfId="0" applyNumberFormat="1" applyFont="1" applyBorder="1" applyAlignment="1">
      <alignment vertical="top"/>
    </xf>
    <xf numFmtId="171"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0" xfId="3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171" fontId="10" fillId="0" borderId="64" xfId="0" applyNumberFormat="1" applyFont="1" applyBorder="1" applyAlignment="1">
      <alignment vertical="top"/>
    </xf>
    <xf numFmtId="171" fontId="10" fillId="0" borderId="64" xfId="0" applyNumberFormat="1" applyFont="1" applyFill="1" applyBorder="1"/>
    <xf numFmtId="171" fontId="10" fillId="0" borderId="43" xfId="0" applyNumberFormat="1" applyFont="1" applyFill="1" applyBorder="1"/>
    <xf numFmtId="171" fontId="10" fillId="0" borderId="44" xfId="0" applyNumberFormat="1" applyFont="1" applyFill="1" applyBorder="1"/>
    <xf numFmtId="171" fontId="10" fillId="0" borderId="42" xfId="0" applyNumberFormat="1" applyFont="1" applyFill="1" applyBorder="1"/>
    <xf numFmtId="0" fontId="16" fillId="0" borderId="0" xfId="0" applyFont="1" applyFill="1" applyBorder="1" applyAlignment="1">
      <alignment horizontal="left"/>
    </xf>
    <xf numFmtId="171" fontId="10" fillId="0" borderId="52" xfId="0" applyNumberFormat="1" applyFont="1" applyFill="1" applyBorder="1" applyProtection="1"/>
    <xf numFmtId="0" fontId="9" fillId="0" borderId="21" xfId="0" applyFont="1" applyFill="1" applyBorder="1" applyAlignment="1">
      <alignment horizontal="left" vertical="top" wrapText="1"/>
    </xf>
    <xf numFmtId="171" fontId="10" fillId="0" borderId="73" xfId="0" applyNumberFormat="1" applyFont="1" applyFill="1" applyBorder="1"/>
    <xf numFmtId="171" fontId="10" fillId="0" borderId="62" xfId="0" applyNumberFormat="1" applyFont="1" applyFill="1" applyBorder="1"/>
    <xf numFmtId="171" fontId="10" fillId="0" borderId="41" xfId="0" applyNumberFormat="1" applyFont="1" applyFill="1" applyBorder="1"/>
    <xf numFmtId="171" fontId="10" fillId="0" borderId="56" xfId="0" applyNumberFormat="1" applyFont="1" applyFill="1" applyBorder="1"/>
    <xf numFmtId="171" fontId="10" fillId="0" borderId="74" xfId="0" applyNumberFormat="1" applyFont="1" applyFill="1" applyBorder="1"/>
    <xf numFmtId="171" fontId="10" fillId="0" borderId="50" xfId="0" applyNumberFormat="1" applyFont="1" applyFill="1" applyBorder="1"/>
    <xf numFmtId="171" fontId="10" fillId="0" borderId="67" xfId="0" applyNumberFormat="1" applyFont="1" applyFill="1" applyBorder="1"/>
    <xf numFmtId="171" fontId="10" fillId="0" borderId="51" xfId="0" applyNumberFormat="1" applyFont="1" applyFill="1" applyBorder="1"/>
    <xf numFmtId="171" fontId="10" fillId="0" borderId="52" xfId="0" applyNumberFormat="1" applyFont="1" applyFill="1" applyBorder="1"/>
    <xf numFmtId="171" fontId="10" fillId="0" borderId="20" xfId="0" applyNumberFormat="1" applyFont="1" applyFill="1" applyBorder="1"/>
    <xf numFmtId="171" fontId="10" fillId="0" borderId="39" xfId="0" applyNumberFormat="1" applyFont="1" applyFill="1" applyBorder="1"/>
    <xf numFmtId="171"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1" fontId="10" fillId="0" borderId="22" xfId="0" applyNumberFormat="1" applyFont="1" applyFill="1" applyBorder="1" applyProtection="1"/>
    <xf numFmtId="171" fontId="9" fillId="0" borderId="15"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1" fontId="10" fillId="0" borderId="21" xfId="0" applyNumberFormat="1" applyFont="1" applyFill="1" applyBorder="1" applyProtection="1"/>
    <xf numFmtId="171"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1" fontId="10" fillId="0" borderId="43" xfId="0" applyNumberFormat="1" applyFont="1" applyFill="1" applyBorder="1" applyProtection="1"/>
    <xf numFmtId="171" fontId="10" fillId="0" borderId="64" xfId="0" applyNumberFormat="1" applyFont="1" applyFill="1" applyBorder="1" applyProtection="1"/>
    <xf numFmtId="171"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1" fontId="10" fillId="0" borderId="15" xfId="0" applyNumberFormat="1" applyFont="1" applyFill="1" applyBorder="1" applyProtection="1"/>
    <xf numFmtId="171"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1"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1" fontId="10" fillId="0" borderId="20" xfId="0" applyNumberFormat="1" applyFont="1" applyBorder="1" applyAlignment="1">
      <alignment horizontal="right"/>
    </xf>
    <xf numFmtId="171" fontId="10" fillId="0" borderId="19" xfId="0" applyNumberFormat="1" applyFont="1" applyBorder="1" applyAlignment="1">
      <alignment horizontal="right"/>
    </xf>
    <xf numFmtId="171" fontId="9" fillId="24" borderId="20" xfId="0" applyNumberFormat="1" applyFont="1" applyFill="1" applyBorder="1" applyAlignment="1" applyProtection="1">
      <alignment horizontal="right"/>
      <protection locked="0"/>
    </xf>
    <xf numFmtId="171" fontId="9" fillId="24" borderId="19" xfId="0" applyNumberFormat="1" applyFont="1" applyFill="1" applyBorder="1" applyAlignment="1" applyProtection="1">
      <alignment horizontal="right"/>
      <protection locked="0"/>
    </xf>
    <xf numFmtId="171"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1" fontId="10" fillId="0" borderId="16" xfId="0" applyNumberFormat="1" applyFont="1" applyBorder="1" applyAlignment="1" applyProtection="1">
      <alignment horizontal="right"/>
    </xf>
    <xf numFmtId="171" fontId="10" fillId="0" borderId="15" xfId="0" applyNumberFormat="1" applyFont="1" applyBorder="1" applyAlignment="1" applyProtection="1">
      <alignment horizontal="right"/>
    </xf>
    <xf numFmtId="0" fontId="9" fillId="0" borderId="23" xfId="0" applyFont="1" applyBorder="1" applyProtection="1"/>
    <xf numFmtId="171" fontId="9" fillId="0" borderId="25" xfId="0" applyNumberFormat="1" applyFont="1" applyBorder="1" applyProtection="1"/>
    <xf numFmtId="171" fontId="9" fillId="0" borderId="24" xfId="0" applyNumberFormat="1" applyFont="1" applyBorder="1" applyProtection="1"/>
    <xf numFmtId="0" fontId="11" fillId="0" borderId="28" xfId="0" applyFont="1" applyBorder="1" applyProtection="1"/>
    <xf numFmtId="171" fontId="9" fillId="0" borderId="30" xfId="0" applyNumberFormat="1" applyFont="1" applyBorder="1" applyProtection="1"/>
    <xf numFmtId="171" fontId="9" fillId="0" borderId="29" xfId="0" applyNumberFormat="1" applyFont="1" applyBorder="1" applyProtection="1"/>
    <xf numFmtId="0" fontId="10" fillId="0" borderId="10" xfId="0" applyFont="1" applyFill="1" applyBorder="1" applyAlignment="1" applyProtection="1">
      <alignment horizontal="left" indent="1"/>
    </xf>
    <xf numFmtId="171" fontId="10" fillId="0" borderId="20" xfId="0" applyNumberFormat="1" applyFont="1" applyBorder="1" applyAlignment="1" applyProtection="1">
      <alignment horizontal="right"/>
    </xf>
    <xf numFmtId="171"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10" fillId="0" borderId="32" xfId="0" applyFont="1" applyBorder="1" applyAlignment="1" applyProtection="1">
      <alignment horizontal="center"/>
    </xf>
    <xf numFmtId="171" fontId="10" fillId="0" borderId="22" xfId="0" applyNumberFormat="1" applyFont="1" applyBorder="1" applyAlignment="1">
      <alignment horizontal="right"/>
    </xf>
    <xf numFmtId="171" fontId="10" fillId="0" borderId="18" xfId="0" applyNumberFormat="1" applyFont="1" applyBorder="1" applyAlignment="1" applyProtection="1">
      <alignment horizontal="right"/>
    </xf>
    <xf numFmtId="171" fontId="9" fillId="0" borderId="27" xfId="0" applyNumberFormat="1" applyFont="1" applyBorder="1" applyProtection="1"/>
    <xf numFmtId="171" fontId="9" fillId="0" borderId="32" xfId="0" applyNumberFormat="1" applyFont="1" applyBorder="1" applyProtection="1"/>
    <xf numFmtId="171" fontId="10" fillId="0" borderId="22" xfId="0" applyNumberFormat="1" applyFont="1" applyBorder="1" applyAlignment="1" applyProtection="1">
      <alignment horizontal="right"/>
    </xf>
    <xf numFmtId="171" fontId="9" fillId="0" borderId="51" xfId="0" applyNumberFormat="1" applyFont="1" applyBorder="1"/>
    <xf numFmtId="171"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1" fontId="10" fillId="0" borderId="76" xfId="0" applyNumberFormat="1" applyFont="1" applyBorder="1"/>
    <xf numFmtId="171" fontId="10" fillId="0" borderId="77" xfId="0" applyNumberFormat="1" applyFont="1" applyBorder="1"/>
    <xf numFmtId="171" fontId="9" fillId="0" borderId="77" xfId="0" applyNumberFormat="1" applyFont="1" applyBorder="1"/>
    <xf numFmtId="171" fontId="10" fillId="0" borderId="78" xfId="0" applyNumberFormat="1" applyFont="1" applyBorder="1"/>
    <xf numFmtId="171" fontId="9" fillId="0" borderId="20" xfId="0" applyNumberFormat="1" applyFont="1" applyBorder="1" applyAlignment="1">
      <alignment horizontal="right"/>
    </xf>
    <xf numFmtId="171" fontId="10" fillId="0" borderId="16" xfId="0" applyNumberFormat="1" applyFont="1" applyFill="1" applyBorder="1" applyAlignment="1">
      <alignment horizontal="right"/>
    </xf>
    <xf numFmtId="171" fontId="9" fillId="0" borderId="20" xfId="0" applyNumberFormat="1" applyFont="1" applyBorder="1" applyAlignment="1">
      <alignment horizontal="center"/>
    </xf>
    <xf numFmtId="171" fontId="9" fillId="0" borderId="20" xfId="0" applyNumberFormat="1" applyFont="1" applyFill="1" applyBorder="1" applyAlignment="1" applyProtection="1">
      <alignment horizontal="center"/>
    </xf>
    <xf numFmtId="171" fontId="10" fillId="0" borderId="16" xfId="0" applyNumberFormat="1" applyFont="1" applyFill="1" applyBorder="1" applyAlignment="1">
      <alignment horizontal="center"/>
    </xf>
    <xf numFmtId="171" fontId="9" fillId="0" borderId="20" xfId="30" applyNumberFormat="1" applyFont="1" applyFill="1" applyBorder="1" applyProtection="1"/>
    <xf numFmtId="171"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5" fontId="9" fillId="0" borderId="0" xfId="30" applyNumberFormat="1" applyFont="1" applyFill="1" applyBorder="1"/>
    <xf numFmtId="0" fontId="4" fillId="24" borderId="60"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7"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6" applyFont="1" applyFill="1" applyBorder="1" applyAlignment="1" applyProtection="1">
      <alignment horizontal="center"/>
      <protection locked="0"/>
    </xf>
    <xf numFmtId="9" fontId="9" fillId="24" borderId="81" xfId="46" applyFont="1" applyFill="1" applyBorder="1" applyAlignment="1" applyProtection="1">
      <alignment horizontal="center"/>
      <protection locked="0"/>
    </xf>
    <xf numFmtId="9" fontId="9" fillId="24" borderId="71" xfId="46"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3"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1"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3" fillId="24" borderId="45" xfId="0" applyFont="1" applyFill="1" applyBorder="1" applyAlignment="1" applyProtection="1">
      <alignment horizontal="left"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1"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0" xfId="0" applyNumberFormat="1" applyFont="1" applyFill="1" applyBorder="1" applyProtection="1"/>
    <xf numFmtId="0" fontId="10" fillId="0" borderId="30"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71" fontId="10" fillId="24" borderId="21" xfId="0" applyNumberFormat="1" applyFont="1" applyFill="1" applyBorder="1" applyProtection="1">
      <protection locked="0"/>
    </xf>
    <xf numFmtId="171" fontId="10" fillId="24" borderId="19" xfId="0" applyNumberFormat="1" applyFont="1" applyFill="1" applyBorder="1" applyProtection="1">
      <protection locked="0"/>
    </xf>
    <xf numFmtId="169" fontId="9" fillId="0" borderId="20" xfId="46" applyNumberFormat="1" applyFont="1" applyFill="1" applyBorder="1" applyAlignment="1">
      <alignment horizontal="center" vertical="top" wrapText="1"/>
    </xf>
    <xf numFmtId="169" fontId="9" fillId="0" borderId="21" xfId="46" applyNumberFormat="1" applyFont="1" applyFill="1" applyBorder="1" applyAlignment="1">
      <alignment horizontal="center" vertical="top" wrapText="1"/>
    </xf>
    <xf numFmtId="169" fontId="9" fillId="0" borderId="22" xfId="46" applyNumberFormat="1" applyFont="1" applyFill="1" applyBorder="1" applyAlignment="1">
      <alignment horizontal="center" vertical="top" wrapText="1"/>
    </xf>
    <xf numFmtId="0" fontId="51" fillId="0" borderId="11" xfId="0" applyFont="1" applyFill="1" applyBorder="1" applyAlignment="1" applyProtection="1">
      <alignment horizontal="left"/>
    </xf>
    <xf numFmtId="171" fontId="10" fillId="0" borderId="76" xfId="0" applyNumberFormat="1" applyFont="1" applyFill="1" applyBorder="1" applyProtection="1"/>
    <xf numFmtId="171" fontId="10" fillId="0" borderId="77" xfId="0" applyNumberFormat="1" applyFont="1" applyFill="1" applyBorder="1" applyProtection="1"/>
    <xf numFmtId="171" fontId="10" fillId="0" borderId="82" xfId="0" applyNumberFormat="1" applyFont="1" applyFill="1" applyBorder="1" applyProtection="1"/>
    <xf numFmtId="171" fontId="10" fillId="0" borderId="82" xfId="0" applyNumberFormat="1" applyFont="1" applyBorder="1"/>
    <xf numFmtId="171" fontId="9" fillId="0" borderId="0" xfId="0" applyNumberFormat="1" applyFont="1" applyFill="1" applyBorder="1" applyProtection="1"/>
    <xf numFmtId="171" fontId="9" fillId="0" borderId="83" xfId="0" applyNumberFormat="1" applyFont="1" applyFill="1" applyBorder="1" applyProtection="1"/>
    <xf numFmtId="171" fontId="9" fillId="0" borderId="16" xfId="30" applyNumberFormat="1" applyFont="1" applyFill="1" applyBorder="1" applyProtection="1"/>
    <xf numFmtId="172" fontId="9" fillId="0" borderId="20" xfId="0" applyNumberFormat="1" applyFont="1" applyFill="1" applyBorder="1" applyProtection="1"/>
    <xf numFmtId="172" fontId="9" fillId="0" borderId="39"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22" xfId="0" applyNumberFormat="1" applyFont="1" applyFill="1" applyBorder="1" applyProtection="1"/>
    <xf numFmtId="171" fontId="9" fillId="35" borderId="36" xfId="0" applyNumberFormat="1" applyFont="1" applyFill="1" applyBorder="1" applyProtection="1">
      <protection locked="0"/>
    </xf>
    <xf numFmtId="171" fontId="9" fillId="35" borderId="20" xfId="0" applyNumberFormat="1" applyFont="1" applyFill="1" applyBorder="1" applyProtection="1">
      <protection locked="0"/>
    </xf>
    <xf numFmtId="171" fontId="9" fillId="35"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1" fontId="9" fillId="35" borderId="19" xfId="0" applyNumberFormat="1" applyFont="1" applyFill="1" applyBorder="1" applyProtection="1">
      <protection locked="0"/>
    </xf>
    <xf numFmtId="0" fontId="9" fillId="35" borderId="14" xfId="0" applyFont="1" applyFill="1" applyBorder="1" applyAlignment="1" applyProtection="1">
      <alignment horizontal="left" wrapText="1"/>
      <protection locked="0"/>
    </xf>
    <xf numFmtId="0" fontId="60" fillId="36" borderId="0" xfId="0" applyFont="1" applyFill="1" applyProtection="1"/>
    <xf numFmtId="0" fontId="61" fillId="36" borderId="0" xfId="0" applyFont="1" applyFill="1" applyAlignment="1" applyProtection="1">
      <alignment horizontal="right"/>
    </xf>
    <xf numFmtId="0" fontId="54" fillId="36" borderId="0" xfId="0" applyFont="1" applyFill="1" applyProtection="1"/>
    <xf numFmtId="0" fontId="62" fillId="36" borderId="0" xfId="0" applyFont="1" applyFill="1" applyProtection="1"/>
    <xf numFmtId="0" fontId="63" fillId="36" borderId="0" xfId="0" applyFont="1" applyFill="1" applyAlignment="1" applyProtection="1">
      <alignment horizontal="right"/>
    </xf>
    <xf numFmtId="0" fontId="55" fillId="35" borderId="75" xfId="0" applyFont="1" applyFill="1" applyBorder="1" applyProtection="1">
      <protection locked="0"/>
    </xf>
    <xf numFmtId="0" fontId="62" fillId="36" borderId="0" xfId="0" applyFont="1" applyFill="1" applyProtection="1">
      <protection locked="0"/>
    </xf>
    <xf numFmtId="49" fontId="62" fillId="36" borderId="0" xfId="0" applyNumberFormat="1" applyFont="1" applyFill="1" applyAlignment="1" applyProtection="1">
      <alignment horizontal="right"/>
    </xf>
    <xf numFmtId="0" fontId="43" fillId="35" borderId="0" xfId="0" applyFont="1" applyFill="1" applyAlignment="1" applyProtection="1">
      <alignment horizontal="left" indent="1"/>
      <protection locked="0"/>
    </xf>
    <xf numFmtId="0" fontId="62" fillId="36" borderId="10" xfId="0" applyFont="1" applyFill="1" applyBorder="1" applyAlignment="1" applyProtection="1">
      <alignment horizontal="left" indent="1"/>
      <protection locked="0"/>
    </xf>
    <xf numFmtId="49" fontId="63" fillId="36" borderId="0" xfId="0" applyNumberFormat="1" applyFont="1" applyFill="1" applyAlignment="1" applyProtection="1">
      <alignment horizontal="right"/>
    </xf>
    <xf numFmtId="0" fontId="62" fillId="36" borderId="0" xfId="0" applyFont="1" applyFill="1" applyAlignment="1" applyProtection="1">
      <alignment horizontal="right"/>
    </xf>
    <xf numFmtId="0" fontId="43" fillId="36" borderId="0" xfId="0" applyFont="1" applyFill="1" applyProtection="1">
      <protection locked="0"/>
    </xf>
    <xf numFmtId="0" fontId="9" fillId="0" borderId="14" xfId="0" applyFont="1" applyFill="1" applyBorder="1" applyAlignment="1" applyProtection="1">
      <alignment horizontal="left" indent="1"/>
    </xf>
    <xf numFmtId="171"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5"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5"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5" borderId="70" xfId="0" applyFont="1" applyFill="1" applyBorder="1" applyAlignment="1" applyProtection="1">
      <alignment horizontal="justify" vertical="top" wrapText="1"/>
      <protection locked="0"/>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5"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0" borderId="28" xfId="0" applyFont="1" applyBorder="1" applyAlignment="1" applyProtection="1">
      <alignment horizontal="justify" wrapText="1"/>
    </xf>
    <xf numFmtId="0" fontId="19" fillId="0" borderId="23" xfId="0" applyFont="1" applyFill="1" applyBorder="1" applyAlignment="1" applyProtection="1">
      <alignment horizontal="justify" wrapText="1"/>
    </xf>
    <xf numFmtId="173"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5"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left" vertical="top" wrapText="1"/>
      <protection locked="0"/>
    </xf>
    <xf numFmtId="172" fontId="9" fillId="24" borderId="36" xfId="30" applyNumberFormat="1" applyFont="1" applyFill="1" applyBorder="1" applyAlignment="1" applyProtection="1">
      <alignment horizontal="left" vertical="top" wrapText="1"/>
      <protection locked="0"/>
    </xf>
    <xf numFmtId="172" fontId="9" fillId="0" borderId="36" xfId="30" applyNumberFormat="1" applyFont="1" applyFill="1" applyBorder="1" applyAlignment="1" applyProtection="1">
      <alignment horizontal="left" vertical="top" wrapText="1"/>
    </xf>
    <xf numFmtId="172" fontId="9" fillId="24" borderId="36" xfId="46" applyNumberFormat="1" applyFont="1" applyFill="1" applyBorder="1" applyAlignment="1" applyProtection="1">
      <alignment horizontal="center" vertical="top" wrapText="1"/>
      <protection locked="0"/>
    </xf>
    <xf numFmtId="172"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2"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2"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7" fontId="9" fillId="0" borderId="20" xfId="46" applyNumberFormat="1" applyFont="1" applyFill="1" applyBorder="1" applyAlignment="1" applyProtection="1">
      <alignment horizontal="center" vertical="top" wrapText="1"/>
      <protection locked="0"/>
    </xf>
    <xf numFmtId="167" fontId="13" fillId="0" borderId="16" xfId="46"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2" fontId="9" fillId="24" borderId="38" xfId="30" applyNumberFormat="1" applyFont="1" applyFill="1" applyBorder="1" applyAlignment="1" applyProtection="1">
      <alignment horizontal="left" vertical="top" wrapText="1"/>
      <protection locked="0"/>
    </xf>
    <xf numFmtId="172"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8"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1" fontId="10" fillId="0" borderId="86" xfId="0" applyNumberFormat="1" applyFont="1" applyBorder="1"/>
    <xf numFmtId="171" fontId="9" fillId="24" borderId="22" xfId="0" applyNumberFormat="1" applyFont="1" applyFill="1" applyBorder="1" applyAlignment="1" applyProtection="1">
      <alignment horizontal="center"/>
      <protection locked="0"/>
    </xf>
    <xf numFmtId="167" fontId="9" fillId="24" borderId="19" xfId="46" applyNumberFormat="1" applyFont="1" applyFill="1" applyBorder="1" applyAlignment="1" applyProtection="1">
      <alignment horizontal="right" vertical="top" wrapText="1"/>
      <protection locked="0"/>
    </xf>
    <xf numFmtId="167" fontId="9" fillId="24" borderId="20" xfId="46" applyNumberFormat="1" applyFont="1" applyFill="1" applyBorder="1" applyAlignment="1" applyProtection="1">
      <alignment horizontal="right" vertical="top" wrapText="1"/>
      <protection locked="0"/>
    </xf>
    <xf numFmtId="167" fontId="9" fillId="24" borderId="21" xfId="46"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7" fontId="9" fillId="0" borderId="10" xfId="46" applyNumberFormat="1" applyFont="1" applyFill="1" applyBorder="1" applyAlignment="1" applyProtection="1">
      <alignment horizontal="center" vertical="top" wrapText="1"/>
    </xf>
    <xf numFmtId="167" fontId="9" fillId="0" borderId="22" xfId="46" applyNumberFormat="1" applyFont="1" applyFill="1" applyBorder="1" applyAlignment="1" applyProtection="1">
      <alignment horizontal="center" vertical="top" wrapText="1"/>
    </xf>
    <xf numFmtId="171" fontId="9" fillId="24" borderId="60" xfId="0" applyNumberFormat="1" applyFont="1" applyFill="1" applyBorder="1" applyProtection="1">
      <protection locked="0"/>
    </xf>
    <xf numFmtId="171" fontId="9" fillId="24" borderId="28" xfId="0" applyNumberFormat="1" applyFont="1" applyFill="1" applyBorder="1" applyProtection="1">
      <protection locked="0"/>
    </xf>
    <xf numFmtId="171" fontId="9" fillId="24" borderId="46" xfId="0" applyNumberFormat="1" applyFont="1" applyFill="1" applyBorder="1" applyProtection="1">
      <protection locked="0"/>
    </xf>
    <xf numFmtId="171" fontId="9" fillId="24" borderId="79" xfId="0" applyNumberFormat="1" applyFont="1" applyFill="1" applyBorder="1" applyProtection="1">
      <protection locked="0"/>
    </xf>
    <xf numFmtId="171" fontId="9" fillId="24" borderId="10" xfId="0" applyNumberFormat="1" applyFont="1" applyFill="1" applyBorder="1" applyProtection="1">
      <protection locked="0"/>
    </xf>
    <xf numFmtId="171" fontId="9" fillId="24" borderId="0" xfId="0" applyNumberFormat="1" applyFont="1" applyFill="1" applyBorder="1" applyProtection="1">
      <protection locked="0"/>
    </xf>
    <xf numFmtId="171" fontId="9" fillId="24" borderId="11" xfId="0" applyNumberFormat="1" applyFont="1" applyFill="1" applyBorder="1" applyProtection="1">
      <protection locked="0"/>
    </xf>
    <xf numFmtId="171" fontId="9" fillId="24" borderId="72" xfId="0" applyNumberFormat="1" applyFont="1" applyFill="1" applyBorder="1" applyProtection="1">
      <protection locked="0"/>
    </xf>
    <xf numFmtId="171" fontId="9" fillId="24" borderId="70" xfId="0" applyNumberFormat="1" applyFont="1" applyFill="1" applyBorder="1" applyProtection="1">
      <protection locked="0"/>
    </xf>
    <xf numFmtId="171" fontId="9" fillId="24" borderId="23" xfId="0" applyNumberFormat="1" applyFont="1" applyFill="1" applyBorder="1" applyProtection="1">
      <protection locked="0"/>
    </xf>
    <xf numFmtId="171" fontId="9" fillId="24" borderId="81" xfId="0" applyNumberFormat="1" applyFont="1" applyFill="1" applyBorder="1" applyProtection="1">
      <protection locked="0"/>
    </xf>
    <xf numFmtId="171"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5" borderId="10" xfId="0" applyFont="1" applyFill="1" applyBorder="1" applyAlignment="1" applyProtection="1">
      <alignment horizontal="left" indent="1"/>
      <protection locked="0"/>
    </xf>
    <xf numFmtId="0" fontId="9" fillId="35" borderId="10" xfId="0" applyFont="1" applyFill="1" applyBorder="1" applyAlignment="1" applyProtection="1">
      <alignment horizontal="left" indent="1"/>
      <protection locked="0"/>
    </xf>
    <xf numFmtId="0" fontId="13" fillId="35" borderId="19" xfId="0" applyFont="1" applyFill="1" applyBorder="1" applyAlignment="1" applyProtection="1">
      <alignment horizontal="left" indent="1"/>
      <protection locked="0"/>
    </xf>
    <xf numFmtId="0" fontId="13" fillId="35" borderId="20" xfId="0" applyFont="1" applyFill="1" applyBorder="1" applyAlignment="1" applyProtection="1">
      <alignment horizontal="left" indent="1"/>
      <protection locked="0"/>
    </xf>
    <xf numFmtId="0" fontId="13" fillId="35"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1" fontId="10" fillId="0" borderId="15" xfId="0" applyNumberFormat="1" applyFont="1" applyBorder="1" applyAlignment="1">
      <alignment vertical="top"/>
    </xf>
    <xf numFmtId="171" fontId="10" fillId="0" borderId="16" xfId="0" applyNumberFormat="1" applyFont="1" applyBorder="1" applyAlignment="1">
      <alignment vertical="top"/>
    </xf>
    <xf numFmtId="171" fontId="10" fillId="0" borderId="18" xfId="0" applyNumberFormat="1" applyFont="1" applyBorder="1" applyAlignment="1">
      <alignment vertical="top"/>
    </xf>
    <xf numFmtId="0" fontId="9" fillId="0" borderId="21" xfId="0" applyFont="1" applyBorder="1" applyAlignment="1">
      <alignment horizontal="left" vertical="top" wrapText="1"/>
    </xf>
    <xf numFmtId="171"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7" fontId="9" fillId="24" borderId="53" xfId="46" applyNumberFormat="1" applyFont="1" applyFill="1" applyBorder="1" applyAlignment="1" applyProtection="1">
      <alignment horizontal="center" vertical="top" wrapText="1"/>
      <protection locked="0"/>
    </xf>
    <xf numFmtId="169" fontId="9" fillId="0" borderId="25" xfId="46" applyNumberFormat="1" applyFont="1" applyFill="1" applyBorder="1" applyAlignment="1">
      <alignment horizontal="center" vertical="top" wrapText="1"/>
    </xf>
    <xf numFmtId="169" fontId="9" fillId="0" borderId="26" xfId="46" applyNumberFormat="1" applyFont="1" applyFill="1" applyBorder="1" applyAlignment="1">
      <alignment horizontal="center" vertical="top" wrapText="1"/>
    </xf>
    <xf numFmtId="169" fontId="9" fillId="0" borderId="27" xfId="46"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1" fontId="19" fillId="0" borderId="30" xfId="0" applyNumberFormat="1" applyFont="1" applyFill="1" applyBorder="1" applyProtection="1">
      <protection locked="0"/>
    </xf>
    <xf numFmtId="171" fontId="19" fillId="0" borderId="32" xfId="0" applyNumberFormat="1" applyFont="1" applyFill="1" applyBorder="1" applyProtection="1">
      <protection locked="0"/>
    </xf>
    <xf numFmtId="171" fontId="10" fillId="0" borderId="28" xfId="0" applyNumberFormat="1" applyFont="1" applyFill="1" applyBorder="1" applyProtection="1"/>
    <xf numFmtId="171" fontId="10" fillId="0" borderId="30" xfId="0" applyNumberFormat="1" applyFont="1" applyFill="1" applyBorder="1" applyProtection="1"/>
    <xf numFmtId="171" fontId="10" fillId="0" borderId="46" xfId="0" applyNumberFormat="1" applyFont="1" applyFill="1" applyBorder="1" applyProtection="1"/>
    <xf numFmtId="171" fontId="10" fillId="0" borderId="29" xfId="0" applyNumberFormat="1" applyFont="1" applyFill="1" applyBorder="1" applyProtection="1"/>
    <xf numFmtId="171"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0" xfId="0" applyNumberFormat="1" applyFont="1" applyFill="1" applyBorder="1" applyProtection="1"/>
    <xf numFmtId="171" fontId="9" fillId="0" borderId="19" xfId="0" applyNumberFormat="1" applyFont="1" applyFill="1" applyBorder="1" applyProtection="1"/>
    <xf numFmtId="171" fontId="9" fillId="0" borderId="70" xfId="0" applyNumberFormat="1" applyFont="1" applyFill="1" applyBorder="1" applyProtection="1"/>
    <xf numFmtId="0" fontId="9" fillId="0" borderId="0" xfId="0" applyNumberFormat="1" applyFont="1" applyBorder="1" applyAlignment="1" applyProtection="1">
      <alignment horizontal="left" indent="1"/>
    </xf>
    <xf numFmtId="172" fontId="9" fillId="35" borderId="19" xfId="0" applyNumberFormat="1" applyFont="1" applyFill="1" applyBorder="1" applyProtection="1">
      <protection locked="0"/>
    </xf>
    <xf numFmtId="172" fontId="9" fillId="35" borderId="20" xfId="0" applyNumberFormat="1" applyFont="1" applyFill="1" applyBorder="1" applyProtection="1">
      <protection locked="0"/>
    </xf>
    <xf numFmtId="172" fontId="9" fillId="35" borderId="70" xfId="0" applyNumberFormat="1" applyFont="1" applyFill="1" applyBorder="1" applyProtection="1">
      <protection locked="0"/>
    </xf>
    <xf numFmtId="172" fontId="9" fillId="35" borderId="10" xfId="0" applyNumberFormat="1" applyFont="1" applyFill="1" applyBorder="1" applyProtection="1">
      <protection locked="0"/>
    </xf>
    <xf numFmtId="172" fontId="9" fillId="35"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9" fillId="0" borderId="64" xfId="0" applyNumberFormat="1" applyFont="1" applyFill="1" applyBorder="1" applyProtection="1"/>
    <xf numFmtId="172" fontId="9" fillId="0" borderId="88" xfId="0" applyNumberFormat="1" applyFont="1" applyFill="1" applyBorder="1" applyProtection="1"/>
    <xf numFmtId="172" fontId="9" fillId="0" borderId="57" xfId="0" applyNumberFormat="1" applyFont="1" applyFill="1" applyBorder="1" applyProtection="1"/>
    <xf numFmtId="172" fontId="9" fillId="0" borderId="73" xfId="0" applyNumberFormat="1" applyFont="1" applyFill="1" applyBorder="1" applyProtection="1"/>
    <xf numFmtId="0" fontId="10" fillId="0" borderId="0" xfId="0" applyNumberFormat="1" applyFont="1" applyBorder="1" applyAlignment="1" applyProtection="1">
      <alignment horizontal="left"/>
    </xf>
    <xf numFmtId="172" fontId="10" fillId="0" borderId="15" xfId="0" applyNumberFormat="1" applyFont="1" applyFill="1" applyBorder="1" applyProtection="1"/>
    <xf numFmtId="172" fontId="10" fillId="0" borderId="87" xfId="0" applyNumberFormat="1" applyFont="1" applyFill="1" applyBorder="1" applyProtection="1"/>
    <xf numFmtId="172" fontId="10" fillId="0" borderId="65" xfId="0" applyNumberFormat="1" applyFont="1" applyFill="1" applyBorder="1" applyProtection="1"/>
    <xf numFmtId="172" fontId="10" fillId="0" borderId="68" xfId="0" applyNumberFormat="1" applyFont="1" applyFill="1" applyBorder="1" applyProtection="1"/>
    <xf numFmtId="172" fontId="9" fillId="0" borderId="19" xfId="0" applyNumberFormat="1" applyFont="1" applyFill="1" applyBorder="1" applyProtection="1"/>
    <xf numFmtId="172" fontId="9" fillId="0" borderId="0" xfId="0" applyNumberFormat="1" applyFont="1" applyFill="1" applyBorder="1" applyProtection="1"/>
    <xf numFmtId="172" fontId="9" fillId="0" borderId="10" xfId="0" applyNumberFormat="1" applyFont="1" applyFill="1" applyBorder="1" applyProtection="1"/>
    <xf numFmtId="172" fontId="9" fillId="0" borderId="70" xfId="0" applyNumberFormat="1" applyFont="1" applyFill="1" applyBorder="1" applyProtection="1"/>
    <xf numFmtId="172" fontId="9" fillId="35" borderId="58" xfId="0" applyNumberFormat="1" applyFont="1" applyFill="1" applyBorder="1" applyProtection="1">
      <protection locked="0"/>
    </xf>
    <xf numFmtId="172" fontId="9" fillId="35" borderId="39" xfId="0" applyNumberFormat="1" applyFont="1" applyFill="1" applyBorder="1" applyProtection="1">
      <protection locked="0"/>
    </xf>
    <xf numFmtId="172" fontId="9" fillId="35" borderId="89" xfId="0" applyNumberFormat="1" applyFont="1" applyFill="1" applyBorder="1" applyProtection="1">
      <protection locked="0"/>
    </xf>
    <xf numFmtId="172" fontId="9" fillId="35" borderId="37" xfId="0" applyNumberFormat="1" applyFont="1" applyFill="1" applyBorder="1" applyProtection="1">
      <protection locked="0"/>
    </xf>
    <xf numFmtId="172" fontId="9" fillId="35"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1" fontId="9" fillId="0" borderId="58" xfId="0" applyNumberFormat="1" applyFont="1" applyFill="1" applyBorder="1" applyProtection="1"/>
    <xf numFmtId="171" fontId="9" fillId="0" borderId="89" xfId="0" applyNumberFormat="1" applyFont="1" applyFill="1" applyBorder="1" applyProtection="1"/>
    <xf numFmtId="171" fontId="9" fillId="0" borderId="37" xfId="0" applyNumberFormat="1" applyFont="1" applyFill="1" applyBorder="1" applyProtection="1"/>
    <xf numFmtId="171" fontId="9" fillId="0" borderId="90" xfId="0" applyNumberFormat="1" applyFont="1" applyFill="1" applyBorder="1" applyProtection="1"/>
    <xf numFmtId="171" fontId="10" fillId="35" borderId="14" xfId="0" applyNumberFormat="1" applyFont="1" applyFill="1" applyBorder="1" applyProtection="1">
      <protection locked="0"/>
    </xf>
    <xf numFmtId="171" fontId="10" fillId="35" borderId="11" xfId="0" applyNumberFormat="1" applyFont="1" applyFill="1" applyBorder="1" applyProtection="1">
      <protection locked="0"/>
    </xf>
    <xf numFmtId="171" fontId="10" fillId="35"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1" fontId="9" fillId="0" borderId="24" xfId="0" applyNumberFormat="1" applyFont="1" applyFill="1" applyBorder="1" applyProtection="1"/>
    <xf numFmtId="171" fontId="9" fillId="0" borderId="25" xfId="0" applyNumberFormat="1" applyFont="1" applyFill="1" applyBorder="1" applyProtection="1"/>
    <xf numFmtId="171" fontId="9" fillId="0" borderId="72" xfId="0" applyNumberFormat="1" applyFont="1" applyFill="1" applyBorder="1" applyProtection="1"/>
    <xf numFmtId="171" fontId="9" fillId="0" borderId="23" xfId="0" applyNumberFormat="1" applyFont="1" applyFill="1" applyBorder="1" applyProtection="1"/>
    <xf numFmtId="171"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5"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6"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5"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5"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5"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5"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1" fontId="57" fillId="24" borderId="36" xfId="0" applyNumberFormat="1" applyFont="1" applyFill="1" applyBorder="1" applyProtection="1">
      <protection locked="0"/>
    </xf>
    <xf numFmtId="171" fontId="57" fillId="24" borderId="20" xfId="0" applyNumberFormat="1" applyFont="1" applyFill="1" applyBorder="1" applyProtection="1">
      <protection locked="0"/>
    </xf>
    <xf numFmtId="171" fontId="57" fillId="0" borderId="20" xfId="0" applyNumberFormat="1" applyFont="1" applyBorder="1"/>
    <xf numFmtId="171"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1" fontId="9" fillId="0" borderId="38" xfId="0" applyNumberFormat="1" applyFont="1" applyFill="1" applyBorder="1" applyProtection="1"/>
    <xf numFmtId="171" fontId="9" fillId="0" borderId="39" xfId="0" applyNumberFormat="1" applyFont="1" applyFill="1" applyBorder="1"/>
    <xf numFmtId="0" fontId="10" fillId="0" borderId="10" xfId="42" applyFont="1" applyFill="1" applyBorder="1"/>
    <xf numFmtId="0" fontId="9" fillId="0" borderId="0" xfId="42" applyFont="1" applyFill="1" applyBorder="1"/>
    <xf numFmtId="171" fontId="9" fillId="0" borderId="70" xfId="42" applyNumberFormat="1" applyFont="1" applyFill="1" applyBorder="1" applyProtection="1"/>
    <xf numFmtId="171"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5"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1"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2"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6" applyFont="1" applyFill="1" applyBorder="1" applyAlignment="1">
      <alignment horizontal="center" vertical="center" wrapText="1"/>
    </xf>
    <xf numFmtId="9" fontId="10" fillId="0" borderId="52" xfId="46"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2" fontId="9" fillId="0" borderId="51" xfId="0" applyNumberFormat="1" applyFont="1" applyFill="1" applyBorder="1" applyProtection="1"/>
    <xf numFmtId="172" fontId="9" fillId="0" borderId="50" xfId="0" applyNumberFormat="1" applyFont="1" applyFill="1" applyBorder="1" applyProtection="1"/>
    <xf numFmtId="172" fontId="9" fillId="0" borderId="54" xfId="0" applyNumberFormat="1" applyFont="1" applyFill="1" applyBorder="1" applyProtection="1"/>
    <xf numFmtId="172" fontId="9" fillId="0" borderId="74" xfId="0" applyNumberFormat="1" applyFont="1" applyFill="1" applyBorder="1" applyProtection="1"/>
    <xf numFmtId="171"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3"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2" fontId="10" fillId="35" borderId="20" xfId="29" applyNumberFormat="1" applyFont="1" applyFill="1" applyBorder="1" applyAlignment="1" applyProtection="1">
      <alignment horizontal="center"/>
      <protection locked="0"/>
    </xf>
    <xf numFmtId="0" fontId="13" fillId="35" borderId="20" xfId="0" applyNumberFormat="1" applyFont="1" applyFill="1" applyBorder="1" applyAlignment="1" applyProtection="1">
      <alignment horizontal="center"/>
      <protection locked="0"/>
    </xf>
    <xf numFmtId="0" fontId="10" fillId="37" borderId="20" xfId="0" applyNumberFormat="1" applyFont="1" applyFill="1" applyBorder="1" applyAlignment="1" applyProtection="1">
      <alignment horizontal="center"/>
      <protection locked="0"/>
    </xf>
    <xf numFmtId="172" fontId="10" fillId="37" borderId="20" xfId="30" applyNumberFormat="1" applyFont="1" applyFill="1" applyBorder="1" applyAlignment="1" applyProtection="1">
      <alignment horizontal="center"/>
      <protection locked="0"/>
    </xf>
    <xf numFmtId="0" fontId="13" fillId="37" borderId="20" xfId="0" applyNumberFormat="1" applyFont="1" applyFill="1" applyBorder="1" applyAlignment="1" applyProtection="1">
      <alignment horizontal="center"/>
      <protection locked="0"/>
    </xf>
    <xf numFmtId="0" fontId="13" fillId="37" borderId="0" xfId="0" applyNumberFormat="1" applyFont="1" applyFill="1" applyBorder="1" applyAlignment="1" applyProtection="1">
      <alignment horizontal="center"/>
      <protection locked="0"/>
    </xf>
    <xf numFmtId="0" fontId="13" fillId="37" borderId="22" xfId="0" applyNumberFormat="1" applyFont="1" applyFill="1" applyBorder="1" applyAlignment="1" applyProtection="1">
      <alignment horizontal="center"/>
      <protection locked="0"/>
    </xf>
    <xf numFmtId="0" fontId="13" fillId="37" borderId="21" xfId="0" applyNumberFormat="1" applyFont="1" applyFill="1" applyBorder="1" applyAlignment="1" applyProtection="1">
      <alignment horizontal="center"/>
      <protection locked="0"/>
    </xf>
    <xf numFmtId="171" fontId="10" fillId="37" borderId="19" xfId="0" applyNumberFormat="1" applyFont="1" applyFill="1" applyBorder="1" applyAlignment="1" applyProtection="1">
      <alignment horizontal="center"/>
      <protection locked="0"/>
    </xf>
    <xf numFmtId="171" fontId="10" fillId="37" borderId="21" xfId="0" applyNumberFormat="1" applyFont="1" applyFill="1" applyBorder="1" applyAlignment="1" applyProtection="1">
      <alignment horizontal="center"/>
      <protection locked="0"/>
    </xf>
    <xf numFmtId="171" fontId="10" fillId="37" borderId="22" xfId="0" applyNumberFormat="1" applyFont="1" applyFill="1" applyBorder="1" applyAlignment="1" applyProtection="1">
      <alignment horizontal="center"/>
      <protection locked="0"/>
    </xf>
    <xf numFmtId="171" fontId="10" fillId="37" borderId="36" xfId="0" applyNumberFormat="1" applyFont="1" applyFill="1" applyBorder="1" applyAlignment="1" applyProtection="1">
      <alignment horizontal="center"/>
      <protection locked="0"/>
    </xf>
    <xf numFmtId="0" fontId="13" fillId="37" borderId="10" xfId="0" applyNumberFormat="1" applyFont="1" applyFill="1" applyBorder="1" applyAlignment="1" applyProtection="1">
      <alignment horizontal="left" indent="1"/>
      <protection locked="0"/>
    </xf>
    <xf numFmtId="0" fontId="9" fillId="37" borderId="20" xfId="0" applyNumberFormat="1" applyFont="1" applyFill="1" applyBorder="1" applyProtection="1">
      <protection locked="0"/>
    </xf>
    <xf numFmtId="172" fontId="9" fillId="37" borderId="20" xfId="30" applyNumberFormat="1" applyFont="1" applyFill="1" applyBorder="1" applyAlignment="1" applyProtection="1">
      <alignment horizontal="center"/>
      <protection locked="0"/>
    </xf>
    <xf numFmtId="171" fontId="9" fillId="37" borderId="19" xfId="0" applyNumberFormat="1" applyFont="1" applyFill="1" applyBorder="1" applyProtection="1">
      <protection locked="0"/>
    </xf>
    <xf numFmtId="171" fontId="9" fillId="37" borderId="21" xfId="0" applyNumberFormat="1" applyFont="1" applyFill="1" applyBorder="1" applyProtection="1">
      <protection locked="0"/>
    </xf>
    <xf numFmtId="171" fontId="9" fillId="37" borderId="22" xfId="0" applyNumberFormat="1" applyFont="1" applyFill="1" applyBorder="1" applyProtection="1">
      <protection locked="0"/>
    </xf>
    <xf numFmtId="171" fontId="9" fillId="37" borderId="36" xfId="0" applyNumberFormat="1" applyFont="1" applyFill="1" applyBorder="1" applyProtection="1">
      <protection locked="0"/>
    </xf>
    <xf numFmtId="0" fontId="9" fillId="37" borderId="0" xfId="0" applyFont="1" applyFill="1"/>
    <xf numFmtId="0" fontId="9" fillId="0" borderId="20" xfId="0" applyFont="1" applyBorder="1" applyAlignment="1"/>
    <xf numFmtId="172" fontId="10" fillId="35" borderId="39" xfId="29" applyNumberFormat="1" applyFont="1" applyFill="1" applyBorder="1" applyAlignment="1" applyProtection="1">
      <alignment horizontal="center"/>
      <protection locked="0"/>
    </xf>
    <xf numFmtId="0" fontId="13" fillId="35" borderId="39" xfId="0" applyNumberFormat="1" applyFont="1" applyFill="1" applyBorder="1" applyAlignment="1" applyProtection="1">
      <alignment horizontal="center"/>
      <protection locked="0"/>
    </xf>
    <xf numFmtId="172" fontId="10" fillId="35" borderId="25" xfId="29" applyNumberFormat="1" applyFont="1" applyFill="1" applyBorder="1" applyAlignment="1" applyProtection="1">
      <alignment horizontal="center"/>
      <protection locked="0"/>
    </xf>
    <xf numFmtId="0" fontId="13" fillId="35"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1" fontId="9" fillId="0" borderId="21" xfId="0" applyNumberFormat="1" applyFont="1" applyFill="1" applyBorder="1" applyProtection="1"/>
    <xf numFmtId="171"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5" borderId="70" xfId="0" applyNumberFormat="1" applyFont="1" applyFill="1" applyBorder="1" applyAlignment="1" applyProtection="1">
      <alignment horizontal="left" vertical="top" wrapText="1"/>
      <protection locked="0"/>
    </xf>
    <xf numFmtId="171" fontId="9" fillId="35" borderId="22" xfId="29" applyNumberFormat="1" applyFont="1" applyFill="1" applyBorder="1" applyAlignment="1" applyProtection="1">
      <alignment horizontal="left" vertical="top" wrapText="1"/>
      <protection locked="0"/>
    </xf>
    <xf numFmtId="171" fontId="9" fillId="35" borderId="10" xfId="0" applyNumberFormat="1" applyFont="1" applyFill="1" applyBorder="1" applyAlignment="1" applyProtection="1">
      <alignment horizontal="center" vertical="top" wrapText="1"/>
      <protection locked="0"/>
    </xf>
    <xf numFmtId="171" fontId="9" fillId="35" borderId="10" xfId="46" applyNumberFormat="1" applyFont="1" applyFill="1" applyBorder="1" applyAlignment="1" applyProtection="1">
      <alignment horizontal="center" vertical="top" wrapText="1"/>
      <protection locked="0"/>
    </xf>
    <xf numFmtId="0" fontId="9" fillId="35" borderId="89" xfId="0" applyNumberFormat="1" applyFont="1" applyFill="1" applyBorder="1" applyAlignment="1" applyProtection="1">
      <alignment horizontal="left" vertical="top" wrapText="1"/>
      <protection locked="0"/>
    </xf>
    <xf numFmtId="171" fontId="9" fillId="35" borderId="40" xfId="46" applyNumberFormat="1" applyFont="1" applyFill="1" applyBorder="1" applyAlignment="1" applyProtection="1">
      <alignment horizontal="center" vertical="top" wrapText="1"/>
      <protection locked="0"/>
    </xf>
    <xf numFmtId="171" fontId="9" fillId="35" borderId="37" xfId="46" applyNumberFormat="1" applyFont="1" applyFill="1" applyBorder="1" applyAlignment="1" applyProtection="1">
      <alignment horizontal="center" vertical="top" wrapText="1"/>
      <protection locked="0"/>
    </xf>
    <xf numFmtId="0" fontId="10" fillId="31" borderId="45" xfId="0" applyFont="1" applyFill="1" applyBorder="1" applyAlignment="1" applyProtection="1">
      <alignment vertical="top" wrapText="1"/>
      <protection locked="0"/>
    </xf>
    <xf numFmtId="0" fontId="9" fillId="24" borderId="45" xfId="52" applyFont="1" applyFill="1" applyBorder="1" applyAlignment="1" applyProtection="1">
      <alignment horizontal="left" vertical="top" wrapText="1"/>
      <protection locked="0"/>
    </xf>
    <xf numFmtId="0" fontId="10" fillId="35" borderId="45" xfId="0" applyFont="1" applyFill="1" applyBorder="1" applyAlignment="1" applyProtection="1">
      <alignment horizontal="left" vertical="top" wrapText="1"/>
      <protection locked="0"/>
    </xf>
    <xf numFmtId="0" fontId="13" fillId="35" borderId="45" xfId="0" applyFont="1" applyFill="1" applyBorder="1" applyAlignment="1" applyProtection="1">
      <alignment horizontal="left" wrapText="1"/>
      <protection locked="0"/>
    </xf>
    <xf numFmtId="0" fontId="10" fillId="35" borderId="75" xfId="0" applyFont="1" applyFill="1" applyBorder="1" applyAlignment="1" applyProtection="1">
      <alignment horizontal="left" vertical="top" wrapText="1"/>
      <protection locked="0"/>
    </xf>
    <xf numFmtId="0" fontId="9" fillId="24" borderId="45" xfId="52" applyFont="1" applyFill="1" applyBorder="1" applyAlignment="1" applyProtection="1">
      <alignment horizontal="left" wrapText="1"/>
      <protection locked="0"/>
    </xf>
    <xf numFmtId="0" fontId="9" fillId="24" borderId="14" xfId="52" applyFont="1" applyFill="1" applyBorder="1" applyAlignment="1" applyProtection="1">
      <alignment horizontal="left" wrapText="1"/>
      <protection locked="0"/>
    </xf>
    <xf numFmtId="0" fontId="9" fillId="24" borderId="75" xfId="52" applyFont="1" applyFill="1" applyBorder="1" applyAlignment="1" applyProtection="1">
      <alignment horizontal="left" wrapText="1"/>
      <protection locked="0"/>
    </xf>
    <xf numFmtId="0" fontId="66" fillId="39" borderId="100" xfId="0" applyFont="1" applyFill="1" applyBorder="1" applyAlignment="1">
      <alignment vertical="center" wrapText="1"/>
    </xf>
    <xf numFmtId="0" fontId="7" fillId="33" borderId="80" xfId="0" applyFont="1" applyFill="1" applyBorder="1" applyAlignment="1">
      <alignment horizontal="center"/>
    </xf>
    <xf numFmtId="0" fontId="7" fillId="33" borderId="81" xfId="0" applyFont="1" applyFill="1" applyBorder="1" applyAlignment="1">
      <alignment horizontal="center"/>
    </xf>
    <xf numFmtId="0" fontId="7" fillId="33" borderId="71" xfId="0" applyFont="1" applyFill="1" applyBorder="1" applyAlignment="1">
      <alignment horizontal="center"/>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applyFont="1" applyBorder="1" applyAlignment="1" applyProtection="1">
      <alignment horizontal="left"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8" fillId="38" borderId="79" xfId="42" applyFont="1" applyFill="1" applyBorder="1" applyAlignment="1">
      <alignment horizontal="center" vertical="center"/>
    </xf>
    <xf numFmtId="0" fontId="8" fillId="38" borderId="72" xfId="42" applyFont="1" applyFill="1" applyBorder="1" applyAlignment="1">
      <alignment horizontal="center" vertical="center"/>
    </xf>
    <xf numFmtId="171" fontId="8" fillId="38"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xf numFmtId="49" fontId="19" fillId="35" borderId="71" xfId="0" quotePrefix="1" applyNumberFormat="1" applyFont="1" applyFill="1" applyBorder="1" applyAlignment="1" applyProtection="1">
      <alignment horizontal="justify" wrapText="1"/>
      <protection locked="0"/>
    </xf>
    <xf numFmtId="49" fontId="3" fillId="35" borderId="79" xfId="37" applyNumberFormat="1" applyFill="1" applyBorder="1" applyAlignment="1" applyProtection="1">
      <alignment horizontal="justify" wrapText="1"/>
      <protection locked="0"/>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Currency 8" xfId="56"/>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138" xfId="54"/>
    <cellStyle name="Normal 146" xfId="55"/>
    <cellStyle name="Normal 2" xfId="42"/>
    <cellStyle name="Normal 3" xfId="52"/>
    <cellStyle name="Normal 4" xfId="43"/>
    <cellStyle name="Note" xfId="44" builtinId="10" customBuiltin="1"/>
    <cellStyle name="Output" xfId="45" builtinId="21" customBuiltin="1"/>
    <cellStyle name="Percent" xfId="46" builtinId="5"/>
    <cellStyle name="Percent 10 2" xfId="47"/>
    <cellStyle name="Percent 10 2 2" xfId="48"/>
    <cellStyle name="Percent 6" xfId="57"/>
    <cellStyle name="Percent 9" xfId="53"/>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1" val="10"/>
</file>

<file path=xl/ctrlProps/ctrlProp4.xml><?xml version="1.0" encoding="utf-8"?>
<formControlPr xmlns="http://schemas.microsoft.com/office/spreadsheetml/2009/9/main" objectType="Drop" dropLines="10" dropStyle="combo" dx="22" fmlaLink="'Lookup and lists'!$B$27" fmlaRange="'Lookup and lists'!$B$29:$B$286" noThreeD="1" sel="131" val="12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17557" name="Group 29"/>
        <xdr:cNvGrpSpPr>
          <a:grpSpLocks/>
        </xdr:cNvGrpSpPr>
      </xdr:nvGrpSpPr>
      <xdr:grpSpPr bwMode="auto">
        <a:xfrm>
          <a:off x="0" y="0"/>
          <a:ext cx="8201025" cy="7200900"/>
          <a:chOff x="0" y="0"/>
          <a:chExt cx="903" cy="755"/>
        </a:xfrm>
      </xdr:grpSpPr>
      <xdr:grpSp>
        <xdr:nvGrpSpPr>
          <xdr:cNvPr id="117559" name="Group 11"/>
          <xdr:cNvGrpSpPr>
            <a:grpSpLocks/>
          </xdr:cNvGrpSpPr>
        </xdr:nvGrpSpPr>
        <xdr:grpSpPr bwMode="auto">
          <a:xfrm>
            <a:off x="0" y="0"/>
            <a:ext cx="903" cy="755"/>
            <a:chOff x="0" y="0"/>
            <a:chExt cx="791" cy="672"/>
          </a:xfrm>
        </xdr:grpSpPr>
        <xdr:grpSp>
          <xdr:nvGrpSpPr>
            <xdr:cNvPr id="117561" name="Group 12"/>
            <xdr:cNvGrpSpPr>
              <a:grpSpLocks/>
            </xdr:cNvGrpSpPr>
          </xdr:nvGrpSpPr>
          <xdr:grpSpPr bwMode="auto">
            <a:xfrm>
              <a:off x="0" y="0"/>
              <a:ext cx="791" cy="672"/>
              <a:chOff x="12" y="17"/>
              <a:chExt cx="791" cy="672"/>
            </a:xfrm>
          </xdr:grpSpPr>
          <xdr:pic>
            <xdr:nvPicPr>
              <xdr:cNvPr id="11756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565" name="Group 15"/>
              <xdr:cNvGrpSpPr>
                <a:grpSpLocks/>
              </xdr:cNvGrpSpPr>
            </xdr:nvGrpSpPr>
            <xdr:grpSpPr bwMode="auto">
              <a:xfrm>
                <a:off x="416" y="255"/>
                <a:ext cx="367" cy="413"/>
                <a:chOff x="416" y="255"/>
                <a:chExt cx="367" cy="413"/>
              </a:xfrm>
            </xdr:grpSpPr>
            <xdr:pic>
              <xdr:nvPicPr>
                <xdr:cNvPr id="11757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571" name="Group 17"/>
                <xdr:cNvGrpSpPr>
                  <a:grpSpLocks/>
                </xdr:cNvGrpSpPr>
              </xdr:nvGrpSpPr>
              <xdr:grpSpPr bwMode="auto">
                <a:xfrm>
                  <a:off x="432" y="264"/>
                  <a:ext cx="286" cy="128"/>
                  <a:chOff x="426" y="263"/>
                  <a:chExt cx="290" cy="130"/>
                </a:xfrm>
              </xdr:grpSpPr>
              <xdr:pic>
                <xdr:nvPicPr>
                  <xdr:cNvPr id="11757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757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7566" name="Group 21"/>
              <xdr:cNvGrpSpPr>
                <a:grpSpLocks/>
              </xdr:cNvGrpSpPr>
            </xdr:nvGrpSpPr>
            <xdr:grpSpPr bwMode="auto">
              <a:xfrm>
                <a:off x="76" y="364"/>
                <a:ext cx="289" cy="256"/>
                <a:chOff x="76" y="364"/>
                <a:chExt cx="289" cy="256"/>
              </a:xfrm>
            </xdr:grpSpPr>
            <xdr:pic>
              <xdr:nvPicPr>
                <xdr:cNvPr id="117567"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8"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9"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562"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209550</xdr:colOff>
      <xdr:row>46</xdr:row>
      <xdr:rowOff>57150</xdr:rowOff>
    </xdr:to>
    <xdr:pic>
      <xdr:nvPicPr>
        <xdr:cNvPr id="12226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2226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22276" name="TextBox2"/>
            <xdr:cNvPicPr preferRelativeResize="0">
              <a:picLocks noChangeArrowheads="1" noChangeShapeType="1"/>
              <a:extLst>
                <a:ext uri="{84589F7E-364E-4C9E-8A38-B11213B215E9}">
                  <a14:cameraTool cellRange="FinYear" spid="_x0000_s13711"/>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11</xdr:col>
          <xdr:colOff>438150</xdr:colOff>
          <xdr:row>13</xdr:row>
          <xdr:rowOff>114300</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142875</xdr:rowOff>
        </xdr:from>
        <xdr:to>
          <xdr:col>11</xdr:col>
          <xdr:colOff>323850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428625</xdr:colOff>
          <xdr:row>16</xdr:row>
          <xdr:rowOff>76200</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2227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1919"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habang.TZANEEN\AppData\Local\Microsoft\Windows\Temporary%20Internet%20Files\Content.Outlook\AW2002XG\file:\ressp02\Common\Documents%20and%20Settings\1777\My%20Documents\C%20Tshwane\EM%2010day%20report%20Dec%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image" Target="../media/image16.emf"/><Relationship Id="rId3" Type="http://schemas.openxmlformats.org/officeDocument/2006/relationships/control" Target="../activeX/activeX1.xml"/><Relationship Id="rId21" Type="http://schemas.openxmlformats.org/officeDocument/2006/relationships/ctrlProp" Target="../ctrlProps/ctrlProp3.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ontrol" Target="../activeX/activeX8.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2.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1.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 Id="rId22"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walter@tzaneen.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13" zoomScaleNormal="100" workbookViewId="0"/>
  </sheetViews>
  <sheetFormatPr defaultColWidth="8.7109375" defaultRowHeight="12.75" x14ac:dyDescent="0.2"/>
  <sheetData>
    <row r="1" spans="1:1" x14ac:dyDescent="0.2">
      <c r="A1" t="str">
        <f>muni</f>
        <v>LIM333 Greater Tzaneen</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L54" sqref="L54"/>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LIM333 Greater Tzaneen - Table B3 Adjustments Budget Financial Performance (revenue and expenditure by municipal vote) - 27/02/2019</v>
      </c>
      <c r="B1" s="5"/>
      <c r="C1" s="58"/>
    </row>
    <row r="2" spans="1:26" ht="38.25" x14ac:dyDescent="0.25">
      <c r="A2" s="1398" t="str">
        <f>Vdesc</f>
        <v>Vote Description</v>
      </c>
      <c r="B2" s="1393" t="str">
        <f>head27</f>
        <v>Ref</v>
      </c>
      <c r="C2" s="1390" t="str">
        <f>Head2</f>
        <v>Budget Year 2018/19</v>
      </c>
      <c r="D2" s="1391"/>
      <c r="E2" s="1391"/>
      <c r="F2" s="1391"/>
      <c r="G2" s="1391"/>
      <c r="H2" s="1391"/>
      <c r="I2" s="1391"/>
      <c r="J2" s="1391"/>
      <c r="K2" s="1391"/>
      <c r="L2" s="60" t="str">
        <f>Head10</f>
        <v>Budget Year +1 2019/20</v>
      </c>
      <c r="M2" s="61" t="str">
        <f>Head11</f>
        <v>Budget Year +2 2020/21</v>
      </c>
    </row>
    <row r="3" spans="1:26" ht="25.5" x14ac:dyDescent="0.25">
      <c r="A3" s="1399"/>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604</v>
      </c>
      <c r="B4" s="1394"/>
      <c r="C4" s="65"/>
      <c r="D4" s="15">
        <v>3</v>
      </c>
      <c r="E4" s="15">
        <v>4</v>
      </c>
      <c r="F4" s="15">
        <v>5</v>
      </c>
      <c r="G4" s="15">
        <v>6</v>
      </c>
      <c r="H4" s="15">
        <v>7</v>
      </c>
      <c r="I4" s="15">
        <v>8</v>
      </c>
      <c r="J4" s="15">
        <v>9</v>
      </c>
      <c r="K4" s="15">
        <v>10</v>
      </c>
      <c r="L4" s="15"/>
      <c r="M4" s="17"/>
    </row>
    <row r="5" spans="1:26" ht="13.5" customHeight="1" x14ac:dyDescent="0.25">
      <c r="A5" s="66" t="s">
        <v>605</v>
      </c>
      <c r="B5" s="1402"/>
      <c r="C5" s="67" t="s">
        <v>548</v>
      </c>
      <c r="D5" s="68" t="s">
        <v>549</v>
      </c>
      <c r="E5" s="68" t="s">
        <v>550</v>
      </c>
      <c r="F5" s="69" t="s">
        <v>551</v>
      </c>
      <c r="G5" s="69" t="s">
        <v>552</v>
      </c>
      <c r="H5" s="69" t="s">
        <v>553</v>
      </c>
      <c r="I5" s="70" t="s">
        <v>554</v>
      </c>
      <c r="J5" s="70" t="s">
        <v>555</v>
      </c>
      <c r="K5" s="70" t="s">
        <v>556</v>
      </c>
      <c r="L5" s="70"/>
      <c r="M5" s="71"/>
      <c r="N5" s="48"/>
      <c r="O5" s="48"/>
      <c r="P5" s="48"/>
      <c r="Q5" s="48"/>
      <c r="R5" s="48"/>
      <c r="S5" s="48"/>
      <c r="T5" s="48"/>
      <c r="U5" s="48"/>
      <c r="V5" s="48"/>
      <c r="W5" s="48"/>
      <c r="X5" s="48"/>
      <c r="Y5" s="48"/>
      <c r="Z5" s="48"/>
    </row>
    <row r="6" spans="1:26" ht="12.75" customHeight="1" x14ac:dyDescent="0.25">
      <c r="A6" s="72" t="s">
        <v>606</v>
      </c>
      <c r="B6" s="73">
        <v>1</v>
      </c>
      <c r="C6" s="74"/>
      <c r="D6" s="75"/>
      <c r="E6" s="75"/>
      <c r="F6" s="75"/>
      <c r="G6" s="75"/>
      <c r="H6" s="75"/>
      <c r="I6" s="75"/>
      <c r="J6" s="75"/>
      <c r="K6" s="75"/>
      <c r="L6" s="75"/>
      <c r="M6" s="76"/>
      <c r="N6" s="848"/>
      <c r="O6" s="77"/>
      <c r="P6" s="77"/>
      <c r="Q6" s="77"/>
      <c r="R6" s="77"/>
      <c r="S6" s="77"/>
      <c r="T6" s="77"/>
      <c r="U6" s="77"/>
      <c r="V6" s="77"/>
      <c r="W6" s="77"/>
      <c r="X6" s="77"/>
      <c r="Y6" s="77"/>
      <c r="Z6" s="48"/>
    </row>
    <row r="7" spans="1:26" ht="12.75" customHeight="1" x14ac:dyDescent="0.25">
      <c r="A7" s="936" t="str">
        <f>B3B!A7</f>
        <v>Vote 1 - Municipal Manager</v>
      </c>
      <c r="B7" s="73"/>
      <c r="C7" s="127">
        <f>B3B!C7</f>
        <v>129</v>
      </c>
      <c r="D7" s="171">
        <f>B3B!D7</f>
        <v>0</v>
      </c>
      <c r="E7" s="171">
        <f>B3B!E7</f>
        <v>0</v>
      </c>
      <c r="F7" s="171">
        <f>B3B!F7</f>
        <v>0</v>
      </c>
      <c r="G7" s="171">
        <f>B3B!G7</f>
        <v>0</v>
      </c>
      <c r="H7" s="171">
        <f>B3B!H7</f>
        <v>0</v>
      </c>
      <c r="I7" s="171">
        <f>B3B!I7</f>
        <v>0</v>
      </c>
      <c r="J7" s="75">
        <f t="shared" ref="J7:J21" si="0">SUM(E7:I7)</f>
        <v>0</v>
      </c>
      <c r="K7" s="75">
        <f t="shared" ref="K7:K21" si="1">IF(D7=0,C7+J7,D7+J7)</f>
        <v>129</v>
      </c>
      <c r="L7" s="171">
        <f>B3B!L7</f>
        <v>136.095</v>
      </c>
      <c r="M7" s="235">
        <f>B3B!M7</f>
        <v>143.58022500000001</v>
      </c>
      <c r="N7" s="849"/>
      <c r="O7" s="77"/>
      <c r="P7" s="77"/>
      <c r="Q7" s="77"/>
      <c r="R7" s="77"/>
      <c r="S7" s="77"/>
      <c r="T7" s="77"/>
      <c r="U7" s="77"/>
      <c r="V7" s="77"/>
      <c r="W7" s="77"/>
      <c r="X7" s="77"/>
      <c r="Y7" s="77"/>
      <c r="Z7" s="48"/>
    </row>
    <row r="8" spans="1:26" ht="12.75" customHeight="1" x14ac:dyDescent="0.25">
      <c r="A8" s="936" t="str">
        <f>B3B!A18</f>
        <v>Vote 2 - Planning &amp; Economic Development</v>
      </c>
      <c r="B8" s="73"/>
      <c r="C8" s="127">
        <f>B3B!C18</f>
        <v>563555</v>
      </c>
      <c r="D8" s="171">
        <f>B3B!D18</f>
        <v>0</v>
      </c>
      <c r="E8" s="171">
        <f>B3B!E18</f>
        <v>0</v>
      </c>
      <c r="F8" s="171">
        <f>B3B!F18</f>
        <v>0</v>
      </c>
      <c r="G8" s="171">
        <f>B3B!G18</f>
        <v>0</v>
      </c>
      <c r="H8" s="171">
        <f>B3B!H18</f>
        <v>0</v>
      </c>
      <c r="I8" s="171">
        <f>B3B!I18</f>
        <v>0</v>
      </c>
      <c r="J8" s="75">
        <f t="shared" si="0"/>
        <v>0</v>
      </c>
      <c r="K8" s="75">
        <f t="shared" si="1"/>
        <v>563555</v>
      </c>
      <c r="L8" s="171">
        <f>B3B!L18</f>
        <v>594550.52500000002</v>
      </c>
      <c r="M8" s="235">
        <f>B3B!M18</f>
        <v>627250.80387499998</v>
      </c>
      <c r="N8" s="849"/>
      <c r="O8" s="77"/>
      <c r="P8" s="77"/>
      <c r="Q8" s="77"/>
      <c r="R8" s="77"/>
      <c r="S8" s="77"/>
      <c r="T8" s="77"/>
      <c r="U8" s="77"/>
      <c r="V8" s="77"/>
      <c r="W8" s="77"/>
      <c r="X8" s="77"/>
      <c r="Y8" s="77"/>
      <c r="Z8" s="48"/>
    </row>
    <row r="9" spans="1:26" ht="12.75" customHeight="1" x14ac:dyDescent="0.25">
      <c r="A9" s="936" t="str">
        <f>B3B!A29</f>
        <v>Vote 3 - Financial Services</v>
      </c>
      <c r="B9" s="73"/>
      <c r="C9" s="127">
        <f>B3B!C29</f>
        <v>450215650</v>
      </c>
      <c r="D9" s="171">
        <f>B3B!D29</f>
        <v>0</v>
      </c>
      <c r="E9" s="171">
        <f>B3B!E29</f>
        <v>0</v>
      </c>
      <c r="F9" s="171">
        <f>B3B!F29</f>
        <v>0</v>
      </c>
      <c r="G9" s="171">
        <f>B3B!G29</f>
        <v>0</v>
      </c>
      <c r="H9" s="171">
        <f>B3B!H29</f>
        <v>0</v>
      </c>
      <c r="I9" s="171">
        <f>B3B!I29</f>
        <v>0</v>
      </c>
      <c r="J9" s="75">
        <f t="shared" si="0"/>
        <v>0</v>
      </c>
      <c r="K9" s="75">
        <f t="shared" si="1"/>
        <v>450215650</v>
      </c>
      <c r="L9" s="171">
        <f>B3B!L29</f>
        <v>495323615.75</v>
      </c>
      <c r="M9" s="235">
        <f>B3B!M29</f>
        <v>536356449.61625004</v>
      </c>
      <c r="N9" s="848"/>
      <c r="O9" s="77"/>
      <c r="P9" s="77"/>
      <c r="Q9" s="77"/>
      <c r="R9" s="77"/>
      <c r="S9" s="77"/>
      <c r="T9" s="77"/>
      <c r="U9" s="77"/>
      <c r="V9" s="77"/>
      <c r="W9" s="77"/>
      <c r="X9" s="77"/>
      <c r="Y9" s="77"/>
      <c r="Z9" s="48"/>
    </row>
    <row r="10" spans="1:26" ht="12.75" customHeight="1" x14ac:dyDescent="0.25">
      <c r="A10" s="936" t="str">
        <f>B3B!A40</f>
        <v>Vote 4 - Corporate Services</v>
      </c>
      <c r="B10" s="73"/>
      <c r="C10" s="127">
        <f>B3B!C40</f>
        <v>1228</v>
      </c>
      <c r="D10" s="171">
        <f>B3B!D40</f>
        <v>0</v>
      </c>
      <c r="E10" s="171">
        <f>B3B!E40</f>
        <v>0</v>
      </c>
      <c r="F10" s="171">
        <f>B3B!F40</f>
        <v>0</v>
      </c>
      <c r="G10" s="171">
        <f>B3B!G40</f>
        <v>0</v>
      </c>
      <c r="H10" s="171">
        <f>B3B!H40</f>
        <v>0</v>
      </c>
      <c r="I10" s="171">
        <f>B3B!I40</f>
        <v>0</v>
      </c>
      <c r="J10" s="75">
        <f t="shared" si="0"/>
        <v>0</v>
      </c>
      <c r="K10" s="75">
        <f t="shared" si="1"/>
        <v>1228</v>
      </c>
      <c r="L10" s="171">
        <f>B3B!L40</f>
        <v>1295.54</v>
      </c>
      <c r="M10" s="235">
        <f>B3B!M40</f>
        <v>1366.7947000000001</v>
      </c>
      <c r="N10" s="848"/>
      <c r="O10" s="77"/>
      <c r="P10" s="77"/>
      <c r="Q10" s="77"/>
      <c r="R10" s="77"/>
      <c r="S10" s="77"/>
      <c r="T10" s="77"/>
      <c r="U10" s="77"/>
      <c r="V10" s="77"/>
      <c r="W10" s="77"/>
      <c r="X10" s="77"/>
      <c r="Y10" s="77"/>
      <c r="Z10" s="48"/>
    </row>
    <row r="11" spans="1:26" ht="12.75" customHeight="1" x14ac:dyDescent="0.25">
      <c r="A11" s="936" t="str">
        <f>B3B!A51</f>
        <v>Vote 5 - Community Services</v>
      </c>
      <c r="B11" s="73"/>
      <c r="C11" s="127">
        <f>B3B!C51</f>
        <v>58393395</v>
      </c>
      <c r="D11" s="171">
        <f>B3B!D51</f>
        <v>0</v>
      </c>
      <c r="E11" s="171">
        <f>B3B!E51</f>
        <v>0</v>
      </c>
      <c r="F11" s="171">
        <f>B3B!F51</f>
        <v>0</v>
      </c>
      <c r="G11" s="171">
        <f>B3B!G51</f>
        <v>0</v>
      </c>
      <c r="H11" s="171">
        <f>B3B!H51</f>
        <v>0</v>
      </c>
      <c r="I11" s="171">
        <f>B3B!I51</f>
        <v>0</v>
      </c>
      <c r="J11" s="75">
        <f t="shared" si="0"/>
        <v>0</v>
      </c>
      <c r="K11" s="75">
        <f t="shared" si="1"/>
        <v>58393395</v>
      </c>
      <c r="L11" s="171">
        <f>B3B!L51</f>
        <v>53792981.725000001</v>
      </c>
      <c r="M11" s="235">
        <f>B3B!M51</f>
        <v>56596595.719875</v>
      </c>
      <c r="N11" s="848"/>
      <c r="O11" s="77"/>
      <c r="P11" s="77"/>
      <c r="Q11" s="77"/>
      <c r="R11" s="77"/>
      <c r="S11" s="77"/>
      <c r="T11" s="77"/>
      <c r="U11" s="77"/>
      <c r="V11" s="77"/>
      <c r="W11" s="77"/>
      <c r="X11" s="77"/>
      <c r="Y11" s="77"/>
      <c r="Z11" s="48"/>
    </row>
    <row r="12" spans="1:26" ht="12.75" customHeight="1" x14ac:dyDescent="0.25">
      <c r="A12" s="936" t="str">
        <f>B3B!A62</f>
        <v>Vote 6 - Community Services</v>
      </c>
      <c r="B12" s="73"/>
      <c r="C12" s="127">
        <f>B3B!C62</f>
        <v>55186291</v>
      </c>
      <c r="D12" s="171">
        <f>B3B!D62</f>
        <v>0</v>
      </c>
      <c r="E12" s="171">
        <f>B3B!E62</f>
        <v>0</v>
      </c>
      <c r="F12" s="171">
        <f>B3B!F62</f>
        <v>0</v>
      </c>
      <c r="G12" s="171">
        <f>B3B!G62</f>
        <v>0</v>
      </c>
      <c r="H12" s="171">
        <f>B3B!H62</f>
        <v>0</v>
      </c>
      <c r="I12" s="171">
        <f>B3B!I62</f>
        <v>0</v>
      </c>
      <c r="J12" s="75">
        <f t="shared" si="0"/>
        <v>0</v>
      </c>
      <c r="K12" s="75">
        <f t="shared" si="1"/>
        <v>55186291</v>
      </c>
      <c r="L12" s="171">
        <f>B3B!L62</f>
        <v>58221537.005000003</v>
      </c>
      <c r="M12" s="235">
        <f>B3B!M62</f>
        <v>61423721.540275</v>
      </c>
      <c r="N12" s="848"/>
      <c r="O12" s="77"/>
      <c r="P12" s="77"/>
      <c r="Q12" s="77"/>
      <c r="R12" s="77"/>
      <c r="S12" s="77"/>
      <c r="T12" s="77"/>
      <c r="U12" s="77"/>
      <c r="V12" s="77"/>
      <c r="W12" s="77"/>
      <c r="X12" s="77"/>
      <c r="Y12" s="77"/>
      <c r="Z12" s="48"/>
    </row>
    <row r="13" spans="1:26" ht="12.75" customHeight="1" x14ac:dyDescent="0.25">
      <c r="A13" s="936" t="str">
        <f>B3B!A73</f>
        <v>Vote 7 - Electrical Engineering Services</v>
      </c>
      <c r="B13" s="73"/>
      <c r="C13" s="127">
        <f>B3B!C73</f>
        <v>517347000</v>
      </c>
      <c r="D13" s="171">
        <f>B3B!D73</f>
        <v>0</v>
      </c>
      <c r="E13" s="171">
        <f>B3B!E73</f>
        <v>0</v>
      </c>
      <c r="F13" s="171">
        <f>B3B!F73</f>
        <v>0</v>
      </c>
      <c r="G13" s="171">
        <f>B3B!G73</f>
        <v>0</v>
      </c>
      <c r="H13" s="171">
        <f>B3B!H73</f>
        <v>0</v>
      </c>
      <c r="I13" s="171">
        <f>B3B!I73</f>
        <v>0</v>
      </c>
      <c r="J13" s="75">
        <f t="shared" si="0"/>
        <v>0</v>
      </c>
      <c r="K13" s="75">
        <f t="shared" si="1"/>
        <v>517347000</v>
      </c>
      <c r="L13" s="171">
        <f>B3B!L73</f>
        <v>544925305</v>
      </c>
      <c r="M13" s="235">
        <f>B3B!M73</f>
        <v>570516196.77499998</v>
      </c>
      <c r="N13" s="848"/>
      <c r="O13" s="77"/>
      <c r="P13" s="77"/>
      <c r="Q13" s="77"/>
      <c r="R13" s="77"/>
      <c r="S13" s="77"/>
      <c r="T13" s="77"/>
      <c r="U13" s="77"/>
      <c r="V13" s="77"/>
      <c r="W13" s="77"/>
      <c r="X13" s="77"/>
      <c r="Y13" s="77"/>
      <c r="Z13" s="48"/>
    </row>
    <row r="14" spans="1:26" ht="12.75" customHeight="1" x14ac:dyDescent="0.25">
      <c r="A14" s="936" t="str">
        <f>B3B!A84</f>
        <v>Vote 8 - Engineering Services</v>
      </c>
      <c r="B14" s="73"/>
      <c r="C14" s="127">
        <f>B3B!C84</f>
        <v>95080325</v>
      </c>
      <c r="D14" s="171">
        <f>B3B!D84</f>
        <v>0</v>
      </c>
      <c r="E14" s="171">
        <f>B3B!E84</f>
        <v>0</v>
      </c>
      <c r="F14" s="171">
        <f>B3B!F84</f>
        <v>0</v>
      </c>
      <c r="G14" s="171">
        <f>B3B!G84</f>
        <v>0</v>
      </c>
      <c r="H14" s="171">
        <f>B3B!H84</f>
        <v>0</v>
      </c>
      <c r="I14" s="171">
        <f>B3B!I84</f>
        <v>-500000</v>
      </c>
      <c r="J14" s="75">
        <f t="shared" si="0"/>
        <v>-500000</v>
      </c>
      <c r="K14" s="75">
        <f t="shared" si="1"/>
        <v>94580325</v>
      </c>
      <c r="L14" s="171">
        <f>B3B!L84</f>
        <v>97180417.875</v>
      </c>
      <c r="M14" s="235">
        <f>B3B!M84</f>
        <v>102727875.858125</v>
      </c>
      <c r="N14" s="848"/>
      <c r="O14" s="77"/>
      <c r="P14" s="77"/>
      <c r="Q14" s="77"/>
      <c r="R14" s="77"/>
      <c r="S14" s="77"/>
      <c r="T14" s="77"/>
      <c r="U14" s="77"/>
      <c r="V14" s="77"/>
      <c r="W14" s="77"/>
      <c r="X14" s="77"/>
      <c r="Y14" s="77"/>
      <c r="Z14" s="48"/>
    </row>
    <row r="15" spans="1:26" ht="12.75" customHeight="1" x14ac:dyDescent="0.25">
      <c r="A15" s="936"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8"/>
      <c r="O15" s="77"/>
      <c r="P15" s="77"/>
      <c r="Q15" s="77"/>
      <c r="R15" s="77"/>
      <c r="S15" s="77"/>
      <c r="T15" s="77"/>
      <c r="U15" s="77"/>
      <c r="V15" s="77"/>
      <c r="W15" s="77"/>
      <c r="X15" s="77"/>
      <c r="Y15" s="77"/>
      <c r="Z15" s="48"/>
    </row>
    <row r="16" spans="1:26" ht="12.75" customHeight="1" x14ac:dyDescent="0.25">
      <c r="A16" s="936"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8"/>
      <c r="O16" s="77"/>
      <c r="P16" s="77"/>
      <c r="Q16" s="77"/>
      <c r="R16" s="77"/>
      <c r="S16" s="77"/>
      <c r="T16" s="77"/>
      <c r="U16" s="77"/>
      <c r="V16" s="77"/>
      <c r="W16" s="77"/>
      <c r="X16" s="77"/>
      <c r="Y16" s="77"/>
      <c r="Z16" s="48"/>
    </row>
    <row r="17" spans="1:26" ht="12.75" customHeight="1" x14ac:dyDescent="0.25">
      <c r="A17" s="936"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8"/>
      <c r="O17" s="77"/>
      <c r="P17" s="77"/>
      <c r="Q17" s="77"/>
      <c r="R17" s="77"/>
      <c r="S17" s="77"/>
      <c r="T17" s="77"/>
      <c r="U17" s="77"/>
      <c r="V17" s="77"/>
      <c r="W17" s="77"/>
      <c r="X17" s="77"/>
      <c r="Y17" s="77"/>
      <c r="Z17" s="48"/>
    </row>
    <row r="18" spans="1:26" ht="12.75" customHeight="1" x14ac:dyDescent="0.25">
      <c r="A18" s="936"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8"/>
      <c r="O18" s="77"/>
      <c r="P18" s="77"/>
      <c r="Q18" s="77"/>
      <c r="R18" s="77"/>
      <c r="S18" s="77"/>
      <c r="T18" s="77"/>
      <c r="U18" s="77"/>
      <c r="V18" s="77"/>
      <c r="W18" s="77"/>
      <c r="X18" s="77"/>
      <c r="Y18" s="77"/>
      <c r="Z18" s="48"/>
    </row>
    <row r="19" spans="1:26" ht="12.75" customHeight="1" x14ac:dyDescent="0.25">
      <c r="A19" s="936"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8"/>
      <c r="O19" s="77"/>
      <c r="P19" s="77"/>
      <c r="Q19" s="77"/>
      <c r="R19" s="77"/>
      <c r="S19" s="77"/>
      <c r="T19" s="77"/>
      <c r="U19" s="77"/>
      <c r="V19" s="77"/>
      <c r="W19" s="77"/>
      <c r="X19" s="77"/>
      <c r="Y19" s="77"/>
      <c r="Z19" s="48"/>
    </row>
    <row r="20" spans="1:26" ht="12.75" customHeight="1" x14ac:dyDescent="0.25">
      <c r="A20" s="936"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8"/>
      <c r="O20" s="77"/>
      <c r="P20" s="77"/>
      <c r="Q20" s="77"/>
      <c r="R20" s="77"/>
      <c r="S20" s="77"/>
      <c r="T20" s="77"/>
      <c r="U20" s="77"/>
      <c r="V20" s="77"/>
      <c r="W20" s="77"/>
      <c r="X20" s="77"/>
      <c r="Y20" s="77"/>
      <c r="Z20" s="48"/>
    </row>
    <row r="21" spans="1:26" ht="12.75" customHeight="1" x14ac:dyDescent="0.25">
      <c r="A21" s="936"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8"/>
      <c r="O21" s="77"/>
      <c r="P21" s="77"/>
      <c r="Q21" s="77"/>
      <c r="R21" s="77"/>
      <c r="S21" s="77"/>
      <c r="T21" s="77"/>
      <c r="U21" s="77"/>
      <c r="V21" s="77"/>
      <c r="W21" s="77"/>
      <c r="X21" s="77"/>
      <c r="Y21" s="77"/>
      <c r="Z21" s="48"/>
    </row>
    <row r="22" spans="1:26" ht="12.75" customHeight="1" x14ac:dyDescent="0.25">
      <c r="A22" s="78" t="s">
        <v>607</v>
      </c>
      <c r="B22" s="79">
        <v>2</v>
      </c>
      <c r="C22" s="80">
        <f>SUM(C7:C21)</f>
        <v>1176787573</v>
      </c>
      <c r="D22" s="81">
        <f t="shared" ref="D22:K22" si="2">SUM(D7:D21)</f>
        <v>0</v>
      </c>
      <c r="E22" s="81">
        <f t="shared" si="2"/>
        <v>0</v>
      </c>
      <c r="F22" s="81">
        <f t="shared" si="2"/>
        <v>0</v>
      </c>
      <c r="G22" s="81">
        <f t="shared" si="2"/>
        <v>0</v>
      </c>
      <c r="H22" s="81">
        <f t="shared" si="2"/>
        <v>0</v>
      </c>
      <c r="I22" s="81">
        <f t="shared" si="2"/>
        <v>-500000</v>
      </c>
      <c r="J22" s="81">
        <f>SUM(J7:J21)</f>
        <v>-500000</v>
      </c>
      <c r="K22" s="81">
        <f t="shared" si="2"/>
        <v>1176287573</v>
      </c>
      <c r="L22" s="81">
        <f>SUM(L7:L21)</f>
        <v>1250039839.5149999</v>
      </c>
      <c r="M22" s="82">
        <f>SUM(M7:M21)</f>
        <v>1328249600.6883249</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608</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Municipal Manager</v>
      </c>
      <c r="B25" s="73"/>
      <c r="C25" s="127">
        <f>B3B!C175</f>
        <v>30146709</v>
      </c>
      <c r="D25" s="171">
        <f>B3B!D175</f>
        <v>0</v>
      </c>
      <c r="E25" s="171">
        <f>B3B!E175</f>
        <v>0</v>
      </c>
      <c r="F25" s="171">
        <f>B3B!F175</f>
        <v>0</v>
      </c>
      <c r="G25" s="171">
        <f>B3B!G175</f>
        <v>0</v>
      </c>
      <c r="H25" s="171">
        <f>B3B!H175</f>
        <v>0</v>
      </c>
      <c r="I25" s="171">
        <f>B3B!I175</f>
        <v>4500000</v>
      </c>
      <c r="J25" s="75">
        <f t="shared" ref="J25:J39" si="3">SUM(E25:I25)</f>
        <v>4500000</v>
      </c>
      <c r="K25" s="75">
        <f t="shared" ref="K25:K39" si="4">IF(D25=0,C25+J25,D25+J25)</f>
        <v>34646709</v>
      </c>
      <c r="L25" s="171">
        <f>B3B!L175</f>
        <v>31796348.75</v>
      </c>
      <c r="M25" s="235">
        <f>B3B!M175</f>
        <v>33509358.686250001</v>
      </c>
      <c r="N25" s="849"/>
      <c r="O25" s="84"/>
      <c r="P25" s="84"/>
      <c r="Q25" s="84"/>
      <c r="R25" s="84"/>
      <c r="S25" s="84"/>
      <c r="T25" s="84"/>
      <c r="U25" s="84"/>
      <c r="V25" s="84"/>
      <c r="W25" s="84"/>
      <c r="X25" s="84"/>
      <c r="Y25" s="84"/>
      <c r="Z25" s="48"/>
    </row>
    <row r="26" spans="1:26" ht="12.75" customHeight="1" x14ac:dyDescent="0.25">
      <c r="A26" s="85" t="str">
        <f>B3B!A186</f>
        <v>Vote 2 - Planning &amp; Economic Development</v>
      </c>
      <c r="B26" s="73"/>
      <c r="C26" s="127">
        <f>B3B!C186</f>
        <v>31729992.59</v>
      </c>
      <c r="D26" s="171">
        <f>B3B!D186</f>
        <v>0</v>
      </c>
      <c r="E26" s="171">
        <f>B3B!E186</f>
        <v>0</v>
      </c>
      <c r="F26" s="171">
        <f>B3B!F186</f>
        <v>0</v>
      </c>
      <c r="G26" s="171">
        <f>B3B!G186</f>
        <v>0</v>
      </c>
      <c r="H26" s="171">
        <f>B3B!H186</f>
        <v>0</v>
      </c>
      <c r="I26" s="171">
        <f>B3B!I186</f>
        <v>-207966</v>
      </c>
      <c r="J26" s="75">
        <f t="shared" si="3"/>
        <v>-207966</v>
      </c>
      <c r="K26" s="75">
        <f t="shared" si="4"/>
        <v>31522026.59</v>
      </c>
      <c r="L26" s="171">
        <f>B3B!L186</f>
        <v>33458787.162450004</v>
      </c>
      <c r="M26" s="235">
        <f>B3B!M186</f>
        <v>35334172.436384745</v>
      </c>
      <c r="N26" s="849"/>
      <c r="O26" s="86"/>
      <c r="P26" s="86"/>
      <c r="Q26" s="86"/>
      <c r="R26" s="86"/>
      <c r="S26" s="86"/>
      <c r="T26" s="86"/>
      <c r="U26" s="86"/>
      <c r="V26" s="86"/>
      <c r="W26" s="86"/>
      <c r="X26" s="86"/>
      <c r="Y26" s="86"/>
      <c r="Z26" s="48"/>
    </row>
    <row r="27" spans="1:26" ht="12.75" customHeight="1" x14ac:dyDescent="0.25">
      <c r="A27" s="85" t="str">
        <f>B3B!A197</f>
        <v>Vote 3 - Financial Services</v>
      </c>
      <c r="B27" s="73"/>
      <c r="C27" s="127">
        <f>B3B!C197</f>
        <v>101488569.89</v>
      </c>
      <c r="D27" s="171">
        <f>B3B!D197</f>
        <v>0</v>
      </c>
      <c r="E27" s="171">
        <f>B3B!E197</f>
        <v>0</v>
      </c>
      <c r="F27" s="171">
        <f>B3B!F197</f>
        <v>0</v>
      </c>
      <c r="G27" s="171">
        <f>B3B!G197</f>
        <v>0</v>
      </c>
      <c r="H27" s="171">
        <f>B3B!H197</f>
        <v>0</v>
      </c>
      <c r="I27" s="171">
        <f>B3B!I197</f>
        <v>4500000</v>
      </c>
      <c r="J27" s="75">
        <f t="shared" si="3"/>
        <v>4500000</v>
      </c>
      <c r="K27" s="75">
        <f t="shared" si="4"/>
        <v>105988569.89</v>
      </c>
      <c r="L27" s="171">
        <f>B3B!L197</f>
        <v>106914751.41395001</v>
      </c>
      <c r="M27" s="235">
        <f>B3B!M197</f>
        <v>112671971.92171726</v>
      </c>
      <c r="N27" s="848"/>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102190102.57000001</v>
      </c>
      <c r="D28" s="171">
        <f>B3B!D208</f>
        <v>0</v>
      </c>
      <c r="E28" s="171">
        <f>B3B!E208</f>
        <v>0</v>
      </c>
      <c r="F28" s="171">
        <f>B3B!F208</f>
        <v>0</v>
      </c>
      <c r="G28" s="171">
        <f>B3B!G208</f>
        <v>0</v>
      </c>
      <c r="H28" s="171">
        <f>B3B!H208</f>
        <v>0</v>
      </c>
      <c r="I28" s="171">
        <f>B3B!I208</f>
        <v>-254933</v>
      </c>
      <c r="J28" s="75">
        <f t="shared" si="3"/>
        <v>-254933</v>
      </c>
      <c r="K28" s="75">
        <f t="shared" si="4"/>
        <v>101935169.57000001</v>
      </c>
      <c r="L28" s="171">
        <f>B3B!L208</f>
        <v>107581613.86635</v>
      </c>
      <c r="M28" s="235">
        <f>B3B!M208</f>
        <v>113343004.28399923</v>
      </c>
      <c r="N28" s="848"/>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138712416.29999998</v>
      </c>
      <c r="D29" s="171">
        <f>B3B!D219</f>
        <v>0</v>
      </c>
      <c r="E29" s="171">
        <f>B3B!E219</f>
        <v>0</v>
      </c>
      <c r="F29" s="171">
        <f>B3B!F219</f>
        <v>0</v>
      </c>
      <c r="G29" s="171">
        <f>B3B!G219</f>
        <v>0</v>
      </c>
      <c r="H29" s="171">
        <f>B3B!H219</f>
        <v>0</v>
      </c>
      <c r="I29" s="171">
        <f>B3B!I219</f>
        <v>0</v>
      </c>
      <c r="J29" s="75">
        <f t="shared" si="3"/>
        <v>0</v>
      </c>
      <c r="K29" s="75">
        <f t="shared" si="4"/>
        <v>138712416.29999998</v>
      </c>
      <c r="L29" s="171">
        <f>B3B!L219</f>
        <v>144313472.48150003</v>
      </c>
      <c r="M29" s="235">
        <f>B3B!M219</f>
        <v>151560193.17298251</v>
      </c>
      <c r="N29" s="848"/>
      <c r="O29" s="86"/>
      <c r="P29" s="86"/>
      <c r="Q29" s="86"/>
      <c r="R29" s="86"/>
      <c r="S29" s="86"/>
      <c r="T29" s="86"/>
      <c r="U29" s="86"/>
      <c r="V29" s="86"/>
      <c r="W29" s="86"/>
      <c r="X29" s="86"/>
      <c r="Y29" s="86"/>
      <c r="Z29" s="48"/>
    </row>
    <row r="30" spans="1:26" ht="10.5" customHeight="1" x14ac:dyDescent="0.25">
      <c r="A30" s="85" t="str">
        <f>B3B!A230</f>
        <v>Vote 6 - Community Services</v>
      </c>
      <c r="B30" s="73"/>
      <c r="C30" s="127">
        <f>B3B!C230</f>
        <v>77703752</v>
      </c>
      <c r="D30" s="171">
        <f>B3B!D230</f>
        <v>0</v>
      </c>
      <c r="E30" s="171">
        <f>B3B!E230</f>
        <v>0</v>
      </c>
      <c r="F30" s="171">
        <f>B3B!F230</f>
        <v>0</v>
      </c>
      <c r="G30" s="171">
        <f>B3B!G230</f>
        <v>0</v>
      </c>
      <c r="H30" s="171">
        <f>B3B!H230</f>
        <v>0</v>
      </c>
      <c r="I30" s="171">
        <f>B3B!I230</f>
        <v>3000000</v>
      </c>
      <c r="J30" s="75">
        <f t="shared" si="3"/>
        <v>3000000</v>
      </c>
      <c r="K30" s="75">
        <f t="shared" si="4"/>
        <v>80703752</v>
      </c>
      <c r="L30" s="171">
        <f>B3B!L230</f>
        <v>81884170.550000012</v>
      </c>
      <c r="M30" s="235">
        <f>B3B!M230</f>
        <v>86385059.120250002</v>
      </c>
      <c r="N30" s="848"/>
      <c r="O30" s="86"/>
      <c r="P30" s="86"/>
      <c r="Q30" s="86"/>
      <c r="R30" s="86"/>
      <c r="S30" s="86"/>
      <c r="T30" s="86"/>
      <c r="U30" s="86"/>
      <c r="V30" s="86"/>
      <c r="W30" s="86"/>
      <c r="X30" s="86"/>
      <c r="Y30" s="86"/>
      <c r="Z30" s="48"/>
    </row>
    <row r="31" spans="1:26" ht="12.75" customHeight="1" x14ac:dyDescent="0.25">
      <c r="A31" s="85" t="str">
        <f>B3B!A241</f>
        <v>Vote 7 - Electrical Engineering Services</v>
      </c>
      <c r="B31" s="73"/>
      <c r="C31" s="127">
        <f>B3B!C241</f>
        <v>506151608.48000002</v>
      </c>
      <c r="D31" s="171">
        <f>B3B!D241</f>
        <v>0</v>
      </c>
      <c r="E31" s="171">
        <f>B3B!E241</f>
        <v>0</v>
      </c>
      <c r="F31" s="171">
        <f>B3B!F241</f>
        <v>0</v>
      </c>
      <c r="G31" s="171">
        <f>B3B!G241</f>
        <v>0</v>
      </c>
      <c r="H31" s="171">
        <f>B3B!H241</f>
        <v>0</v>
      </c>
      <c r="I31" s="171">
        <f>B3B!I241</f>
        <v>4406872</v>
      </c>
      <c r="J31" s="75">
        <f t="shared" si="3"/>
        <v>4406872</v>
      </c>
      <c r="K31" s="75">
        <f t="shared" si="4"/>
        <v>510558480.48000002</v>
      </c>
      <c r="L31" s="171">
        <f>B3B!L241</f>
        <v>531191520.11140019</v>
      </c>
      <c r="M31" s="235">
        <f>B3B!M241</f>
        <v>557508799.13252699</v>
      </c>
      <c r="N31" s="848"/>
      <c r="O31" s="86"/>
      <c r="P31" s="86"/>
      <c r="Q31" s="86"/>
      <c r="R31" s="86"/>
      <c r="S31" s="86"/>
      <c r="T31" s="86"/>
      <c r="U31" s="86"/>
      <c r="V31" s="86"/>
      <c r="W31" s="86"/>
      <c r="X31" s="86"/>
      <c r="Y31" s="86"/>
      <c r="Z31" s="48"/>
    </row>
    <row r="32" spans="1:26" ht="12.75" customHeight="1" x14ac:dyDescent="0.25">
      <c r="A32" s="85" t="str">
        <f>B3B!A252</f>
        <v>Vote 8 - Engineering Services</v>
      </c>
      <c r="B32" s="73"/>
      <c r="C32" s="127">
        <f>B3B!C252</f>
        <v>174347970.25</v>
      </c>
      <c r="D32" s="171">
        <f>B3B!D252</f>
        <v>0</v>
      </c>
      <c r="E32" s="171">
        <f>B3B!E252</f>
        <v>0</v>
      </c>
      <c r="F32" s="171">
        <f>B3B!F252</f>
        <v>0</v>
      </c>
      <c r="G32" s="171">
        <f>B3B!G252</f>
        <v>0</v>
      </c>
      <c r="H32" s="171">
        <f>B3B!H252</f>
        <v>0</v>
      </c>
      <c r="I32" s="171">
        <f>B3B!I252</f>
        <v>5724522</v>
      </c>
      <c r="J32" s="75">
        <f t="shared" si="3"/>
        <v>5724522</v>
      </c>
      <c r="K32" s="75">
        <f t="shared" si="4"/>
        <v>180072492.25</v>
      </c>
      <c r="L32" s="171">
        <f>B3B!L252</f>
        <v>182993402.29255003</v>
      </c>
      <c r="M32" s="235">
        <f>B3B!M252</f>
        <v>188509892.22364023</v>
      </c>
      <c r="N32" s="848"/>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8"/>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8"/>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8"/>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8"/>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8"/>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8"/>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8"/>
      <c r="O39" s="86"/>
      <c r="P39" s="86"/>
      <c r="Q39" s="86"/>
      <c r="R39" s="86"/>
      <c r="S39" s="86"/>
      <c r="T39" s="86"/>
      <c r="U39" s="86"/>
      <c r="V39" s="86"/>
      <c r="W39" s="86"/>
      <c r="X39" s="86"/>
      <c r="Y39" s="86"/>
      <c r="Z39" s="48"/>
    </row>
    <row r="40" spans="1:26" ht="12.75" customHeight="1" x14ac:dyDescent="0.25">
      <c r="A40" s="78" t="s">
        <v>609</v>
      </c>
      <c r="B40" s="79">
        <v>2</v>
      </c>
      <c r="C40" s="80">
        <f>SUM(C25:C39)</f>
        <v>1162471121.0799999</v>
      </c>
      <c r="D40" s="81">
        <f t="shared" ref="D40:I40" si="5">SUM(D25:D39)</f>
        <v>0</v>
      </c>
      <c r="E40" s="81">
        <f t="shared" si="5"/>
        <v>0</v>
      </c>
      <c r="F40" s="81">
        <f t="shared" si="5"/>
        <v>0</v>
      </c>
      <c r="G40" s="81">
        <f t="shared" si="5"/>
        <v>0</v>
      </c>
      <c r="H40" s="81">
        <f t="shared" si="5"/>
        <v>0</v>
      </c>
      <c r="I40" s="81">
        <f t="shared" si="5"/>
        <v>21668495</v>
      </c>
      <c r="J40" s="81">
        <f>SUM(J25:J39)</f>
        <v>21668495</v>
      </c>
      <c r="K40" s="81">
        <f>SUM(K25:K39)</f>
        <v>1184139616.0799999</v>
      </c>
      <c r="L40" s="81">
        <f>SUM(L25:L39)</f>
        <v>1220134066.6282003</v>
      </c>
      <c r="M40" s="82">
        <f>SUM(M25:M39)</f>
        <v>1278822450.977751</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14316451.920000076</v>
      </c>
      <c r="D41" s="90">
        <f t="shared" ref="D41:M41" si="6">D22-D40</f>
        <v>0</v>
      </c>
      <c r="E41" s="90">
        <f t="shared" si="6"/>
        <v>0</v>
      </c>
      <c r="F41" s="90">
        <f t="shared" si="6"/>
        <v>0</v>
      </c>
      <c r="G41" s="90">
        <f t="shared" si="6"/>
        <v>0</v>
      </c>
      <c r="H41" s="90">
        <f t="shared" si="6"/>
        <v>0</v>
      </c>
      <c r="I41" s="90">
        <f t="shared" si="6"/>
        <v>-22168495</v>
      </c>
      <c r="J41" s="90">
        <f t="shared" si="6"/>
        <v>-22168495</v>
      </c>
      <c r="K41" s="90">
        <f t="shared" si="6"/>
        <v>-7852043.0799999237</v>
      </c>
      <c r="L41" s="90">
        <f t="shared" si="6"/>
        <v>29905772.886799574</v>
      </c>
      <c r="M41" s="91">
        <f t="shared" si="6"/>
        <v>49427149.710573912</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1043</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1044</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5" t="s">
        <v>994</v>
      </c>
      <c r="B45" s="1395"/>
      <c r="C45" s="1395"/>
      <c r="D45" s="1395"/>
      <c r="E45" s="1395"/>
      <c r="F45" s="1395"/>
      <c r="G45" s="1395"/>
      <c r="H45" s="1395"/>
      <c r="I45" s="1395"/>
      <c r="J45" s="1395"/>
      <c r="K45" s="1395"/>
      <c r="L45" s="1395"/>
      <c r="M45" s="1395"/>
    </row>
    <row r="46" spans="1:26" ht="25.5" customHeight="1" x14ac:dyDescent="0.25">
      <c r="A46" s="1395" t="s">
        <v>1038</v>
      </c>
      <c r="B46" s="1395"/>
      <c r="C46" s="1395"/>
      <c r="D46" s="1395"/>
      <c r="E46" s="1395"/>
      <c r="F46" s="1395"/>
      <c r="G46" s="1395"/>
      <c r="H46" s="1395"/>
      <c r="I46" s="1395"/>
      <c r="J46" s="1395"/>
      <c r="K46" s="1395"/>
      <c r="L46" s="1395"/>
      <c r="M46" s="1395"/>
    </row>
    <row r="47" spans="1:26" ht="12.75" customHeight="1" x14ac:dyDescent="0.25">
      <c r="A47" s="1389" t="s">
        <v>1039</v>
      </c>
      <c r="B47" s="1389"/>
      <c r="C47" s="1389"/>
      <c r="D47" s="1389"/>
      <c r="E47" s="1389"/>
      <c r="F47" s="1389"/>
      <c r="G47" s="1389"/>
      <c r="H47" s="1389"/>
      <c r="I47" s="1389"/>
      <c r="J47" s="1389"/>
      <c r="K47" s="1389"/>
      <c r="L47" s="1389"/>
      <c r="M47" s="1389"/>
    </row>
    <row r="48" spans="1:26" ht="12.75" customHeight="1" x14ac:dyDescent="0.25">
      <c r="A48" s="1389" t="s">
        <v>1040</v>
      </c>
      <c r="B48" s="1389"/>
      <c r="C48" s="1389"/>
      <c r="D48" s="1389"/>
      <c r="E48" s="1389"/>
      <c r="F48" s="1389"/>
      <c r="G48" s="1389"/>
      <c r="H48" s="1389"/>
      <c r="I48" s="1389"/>
      <c r="J48" s="1389"/>
      <c r="K48" s="1389"/>
      <c r="L48" s="1389"/>
      <c r="M48" s="1389"/>
    </row>
    <row r="49" spans="1:13" ht="12.75" customHeight="1" x14ac:dyDescent="0.25">
      <c r="A49" s="99" t="s">
        <v>1041</v>
      </c>
      <c r="B49" s="93"/>
      <c r="C49" s="96"/>
      <c r="D49" s="96"/>
      <c r="E49" s="96"/>
      <c r="F49" s="96"/>
      <c r="G49" s="96"/>
      <c r="H49" s="96"/>
      <c r="I49" s="96"/>
      <c r="J49" s="96"/>
      <c r="K49" s="96"/>
      <c r="L49" s="96"/>
      <c r="M49" s="96"/>
    </row>
    <row r="50" spans="1:13" ht="27.75" customHeight="1" x14ac:dyDescent="0.25">
      <c r="A50" s="1389" t="s">
        <v>1042</v>
      </c>
      <c r="B50" s="1389"/>
      <c r="C50" s="1389"/>
      <c r="D50" s="1389"/>
      <c r="E50" s="1389"/>
      <c r="F50" s="1389"/>
      <c r="G50" s="1389"/>
      <c r="H50" s="1389"/>
      <c r="I50" s="1389"/>
      <c r="J50" s="1389"/>
      <c r="K50" s="1389"/>
      <c r="L50" s="1389"/>
      <c r="M50" s="1389"/>
    </row>
    <row r="51" spans="1:13" ht="12.75" customHeight="1" x14ac:dyDescent="0.25">
      <c r="A51" s="99" t="s">
        <v>610</v>
      </c>
      <c r="B51" s="93"/>
      <c r="C51" s="96"/>
      <c r="D51" s="96"/>
      <c r="E51" s="96"/>
      <c r="F51" s="96"/>
      <c r="G51" s="96"/>
      <c r="H51" s="96"/>
      <c r="I51" s="96"/>
      <c r="J51" s="96"/>
      <c r="K51" s="96"/>
      <c r="L51" s="96"/>
      <c r="M51" s="96"/>
    </row>
    <row r="52" spans="1:13" ht="12.75" customHeight="1" x14ac:dyDescent="0.25">
      <c r="A52" s="1389" t="s">
        <v>611</v>
      </c>
      <c r="B52" s="1389"/>
      <c r="C52" s="1389"/>
      <c r="D52" s="1389"/>
      <c r="E52" s="1389"/>
      <c r="F52" s="1389"/>
      <c r="G52" s="1389"/>
      <c r="H52" s="1389"/>
      <c r="I52" s="1389"/>
      <c r="J52" s="1389"/>
      <c r="K52" s="1389"/>
      <c r="L52" s="1389"/>
      <c r="M52" s="1389"/>
    </row>
    <row r="53" spans="1:13" ht="12.75" customHeight="1" x14ac:dyDescent="0.25">
      <c r="A53" s="48"/>
    </row>
    <row r="54" spans="1:13" ht="12.75" customHeight="1" x14ac:dyDescent="0.25">
      <c r="A54" s="101" t="s">
        <v>612</v>
      </c>
      <c r="C54" s="347">
        <f>C22-'B4-FinPerf RE'!C62</f>
        <v>0</v>
      </c>
      <c r="D54" s="347">
        <f>D22-'B4-FinPerf RE'!D62</f>
        <v>0</v>
      </c>
      <c r="E54" s="347">
        <f>E22-'B4-FinPerf RE'!E62</f>
        <v>0</v>
      </c>
      <c r="F54" s="347">
        <f>F22-'B4-FinPerf RE'!F62</f>
        <v>0</v>
      </c>
      <c r="G54" s="347">
        <f>G22-'B4-FinPerf RE'!G62</f>
        <v>0</v>
      </c>
      <c r="H54" s="347">
        <f>H22-'B4-FinPerf RE'!H62</f>
        <v>0</v>
      </c>
      <c r="I54" s="347">
        <f>I22-'B4-FinPerf RE'!I62</f>
        <v>0</v>
      </c>
      <c r="J54" s="347">
        <f>J22-'B4-FinPerf RE'!J62</f>
        <v>0</v>
      </c>
      <c r="K54" s="347">
        <f>K22-'B4-FinPerf RE'!K62</f>
        <v>0</v>
      </c>
      <c r="L54" s="347">
        <f>L22-'B4-FinPerf RE'!L62</f>
        <v>0</v>
      </c>
      <c r="M54" s="347">
        <f>M22-'B4-FinPerf RE'!M62</f>
        <v>-0.5</v>
      </c>
    </row>
    <row r="55" spans="1:13" ht="12.75" customHeight="1" x14ac:dyDescent="0.25">
      <c r="A55" s="101" t="s">
        <v>613</v>
      </c>
      <c r="C55" s="347">
        <f>C40-'B4-FinPerf RE'!C37</f>
        <v>0</v>
      </c>
      <c r="D55" s="347">
        <f>D40-'B4-FinPerf RE'!D37</f>
        <v>0</v>
      </c>
      <c r="E55" s="347">
        <f>E40-'B4-FinPerf RE'!E37</f>
        <v>0</v>
      </c>
      <c r="F55" s="347">
        <f>F40-'B4-FinPerf RE'!F37</f>
        <v>0</v>
      </c>
      <c r="G55" s="347">
        <f>G40-'B4-FinPerf RE'!G37</f>
        <v>0</v>
      </c>
      <c r="H55" s="347">
        <f>H40-'B4-FinPerf RE'!H37</f>
        <v>0</v>
      </c>
      <c r="I55" s="347">
        <f>I40-'B4-FinPerf RE'!I37</f>
        <v>0</v>
      </c>
      <c r="J55" s="347">
        <f>J40-'B4-FinPerf RE'!J37</f>
        <v>0</v>
      </c>
      <c r="K55" s="347">
        <f>K40-'B4-FinPerf RE'!K37</f>
        <v>0</v>
      </c>
      <c r="L55" s="347">
        <f>L40-'B4-FinPerf RE'!L37</f>
        <v>0.16460013389587402</v>
      </c>
      <c r="M55" s="347">
        <f>M40-'B4-FinPerf RE'!M37</f>
        <v>0.42865300178527832</v>
      </c>
    </row>
    <row r="56" spans="1:13" ht="11.25" customHeight="1" x14ac:dyDescent="0.25">
      <c r="A56" s="48"/>
      <c r="B56" s="843"/>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261" workbookViewId="0">
      <selection activeCell="M245" sqref="M245"/>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LIM333 Greater Tzaneen - Table B3 Adjustments Budget Financial Performance (revenue and expenditure by municipal vote) - B - 27/02/2019</v>
      </c>
      <c r="B1" s="5"/>
      <c r="C1" s="58"/>
      <c r="D1" s="5"/>
      <c r="E1" s="5"/>
      <c r="F1" s="5"/>
      <c r="G1" s="5"/>
      <c r="H1" s="5"/>
      <c r="I1" s="5"/>
      <c r="J1" s="5"/>
      <c r="K1" s="5"/>
      <c r="L1" s="5"/>
      <c r="M1" s="5"/>
    </row>
    <row r="2" spans="1:13" ht="25.5" x14ac:dyDescent="0.2">
      <c r="A2" s="1398" t="str">
        <f>Vdesc</f>
        <v>Vote Description</v>
      </c>
      <c r="B2" s="1393" t="str">
        <f>head27</f>
        <v>Ref</v>
      </c>
      <c r="C2" s="1390" t="str">
        <f>Head2</f>
        <v>Budget Year 2018/19</v>
      </c>
      <c r="D2" s="1391"/>
      <c r="E2" s="1391"/>
      <c r="F2" s="1391"/>
      <c r="G2" s="1391"/>
      <c r="H2" s="1391"/>
      <c r="I2" s="1391"/>
      <c r="J2" s="1391"/>
      <c r="K2" s="1392"/>
      <c r="L2" s="60" t="str">
        <f>Head10</f>
        <v>Budget Year +1 2019/20</v>
      </c>
      <c r="M2" s="61" t="str">
        <f>Head11</f>
        <v>Budget Year +2 2020/21</v>
      </c>
    </row>
    <row r="3" spans="1:13" ht="25.5" x14ac:dyDescent="0.2">
      <c r="A3" s="1399"/>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604</v>
      </c>
      <c r="B4" s="1394"/>
      <c r="C4" s="65"/>
      <c r="D4" s="15">
        <v>3</v>
      </c>
      <c r="E4" s="15">
        <v>4</v>
      </c>
      <c r="F4" s="15">
        <v>5</v>
      </c>
      <c r="G4" s="15">
        <v>6</v>
      </c>
      <c r="H4" s="15">
        <v>7</v>
      </c>
      <c r="I4" s="15">
        <v>8</v>
      </c>
      <c r="J4" s="15">
        <v>9</v>
      </c>
      <c r="K4" s="15">
        <v>10</v>
      </c>
      <c r="L4" s="15"/>
      <c r="M4" s="17"/>
    </row>
    <row r="5" spans="1:13" ht="13.5" x14ac:dyDescent="0.25">
      <c r="A5" s="18" t="s">
        <v>605</v>
      </c>
      <c r="B5" s="1403"/>
      <c r="C5" s="125" t="s">
        <v>548</v>
      </c>
      <c r="D5" s="20" t="s">
        <v>549</v>
      </c>
      <c r="E5" s="20" t="s">
        <v>550</v>
      </c>
      <c r="F5" s="21" t="s">
        <v>551</v>
      </c>
      <c r="G5" s="21" t="s">
        <v>552</v>
      </c>
      <c r="H5" s="21" t="s">
        <v>553</v>
      </c>
      <c r="I5" s="22" t="s">
        <v>554</v>
      </c>
      <c r="J5" s="22" t="s">
        <v>555</v>
      </c>
      <c r="K5" s="22" t="s">
        <v>556</v>
      </c>
      <c r="L5" s="70"/>
      <c r="M5" s="71"/>
    </row>
    <row r="6" spans="1:13" ht="13.5" x14ac:dyDescent="0.25">
      <c r="A6" s="740" t="s">
        <v>606</v>
      </c>
      <c r="B6" s="913">
        <v>1</v>
      </c>
      <c r="C6" s="778"/>
      <c r="D6" s="779"/>
      <c r="E6" s="779"/>
      <c r="F6" s="779"/>
      <c r="G6" s="779"/>
      <c r="H6" s="779"/>
      <c r="I6" s="779"/>
      <c r="J6" s="779"/>
      <c r="K6" s="779"/>
      <c r="L6" s="741"/>
      <c r="M6" s="770"/>
    </row>
    <row r="7" spans="1:13" ht="13.5" x14ac:dyDescent="0.25">
      <c r="A7" s="757" t="str">
        <f>'Org structure'!A2</f>
        <v>Vote 1 - Municipal Manager</v>
      </c>
      <c r="B7" s="914"/>
      <c r="C7" s="744">
        <f>SUM(C8:C17)</f>
        <v>129</v>
      </c>
      <c r="D7" s="743">
        <f t="shared" ref="D7:I7" si="0">SUM(D8:D17)</f>
        <v>0</v>
      </c>
      <c r="E7" s="743">
        <f t="shared" si="0"/>
        <v>0</v>
      </c>
      <c r="F7" s="743">
        <f t="shared" si="0"/>
        <v>0</v>
      </c>
      <c r="G7" s="743">
        <f t="shared" si="0"/>
        <v>0</v>
      </c>
      <c r="H7" s="743">
        <f t="shared" si="0"/>
        <v>0</v>
      </c>
      <c r="I7" s="743">
        <f t="shared" si="0"/>
        <v>0</v>
      </c>
      <c r="J7" s="75">
        <f>SUM(E7:I7)</f>
        <v>0</v>
      </c>
      <c r="K7" s="75">
        <f>IF(D7=0,C7+J7,D7+J7)</f>
        <v>129</v>
      </c>
      <c r="L7" s="743">
        <f>SUM(L8:L17)</f>
        <v>136.095</v>
      </c>
      <c r="M7" s="771">
        <f>SUM(M8:M17)</f>
        <v>143.58022500000001</v>
      </c>
    </row>
    <row r="8" spans="1:13" ht="13.5" x14ac:dyDescent="0.25">
      <c r="A8" s="760" t="str">
        <f>'Org structure'!E3</f>
        <v>1.1 - Administration Municipal Manager</v>
      </c>
      <c r="B8" s="915"/>
      <c r="C8" s="746"/>
      <c r="D8" s="745"/>
      <c r="E8" s="745"/>
      <c r="F8" s="745"/>
      <c r="G8" s="745"/>
      <c r="H8" s="745"/>
      <c r="I8" s="745"/>
      <c r="J8" s="75">
        <f t="shared" ref="J8:J71" si="1">SUM(E8:I8)</f>
        <v>0</v>
      </c>
      <c r="K8" s="75">
        <f t="shared" ref="K8:K71" si="2">IF(D8=0,C8+J8,D8+J8)</f>
        <v>0</v>
      </c>
      <c r="L8" s="745"/>
      <c r="M8" s="747"/>
    </row>
    <row r="9" spans="1:13" ht="13.5" x14ac:dyDescent="0.25">
      <c r="A9" s="760" t="str">
        <f>'Org structure'!E4</f>
        <v>1.2 - Internal Audit</v>
      </c>
      <c r="B9" s="915"/>
      <c r="C9" s="746"/>
      <c r="D9" s="745"/>
      <c r="E9" s="745"/>
      <c r="F9" s="745"/>
      <c r="G9" s="745"/>
      <c r="H9" s="745"/>
      <c r="I9" s="745"/>
      <c r="J9" s="75">
        <f t="shared" si="1"/>
        <v>0</v>
      </c>
      <c r="K9" s="75">
        <f t="shared" si="2"/>
        <v>0</v>
      </c>
      <c r="L9" s="745"/>
      <c r="M9" s="747"/>
    </row>
    <row r="10" spans="1:13" ht="13.5" x14ac:dyDescent="0.25">
      <c r="A10" s="760" t="str">
        <f>'Org structure'!E5</f>
        <v>1.4 - Strategic Support</v>
      </c>
      <c r="B10" s="915"/>
      <c r="C10" s="746"/>
      <c r="D10" s="745"/>
      <c r="E10" s="745"/>
      <c r="F10" s="745"/>
      <c r="G10" s="745"/>
      <c r="H10" s="745"/>
      <c r="I10" s="745"/>
      <c r="J10" s="75">
        <f t="shared" si="1"/>
        <v>0</v>
      </c>
      <c r="K10" s="75">
        <f t="shared" si="2"/>
        <v>0</v>
      </c>
      <c r="L10" s="745"/>
      <c r="M10" s="747"/>
    </row>
    <row r="11" spans="1:13" ht="13.5" x14ac:dyDescent="0.25">
      <c r="A11" s="760" t="str">
        <f>'Org structure'!E6</f>
        <v>1.5 - Risk Management</v>
      </c>
      <c r="B11" s="915"/>
      <c r="C11" s="746"/>
      <c r="D11" s="745"/>
      <c r="E11" s="745"/>
      <c r="F11" s="745"/>
      <c r="G11" s="745"/>
      <c r="H11" s="745"/>
      <c r="I11" s="745"/>
      <c r="J11" s="75">
        <f t="shared" si="1"/>
        <v>0</v>
      </c>
      <c r="K11" s="75">
        <f t="shared" si="2"/>
        <v>0</v>
      </c>
      <c r="L11" s="745"/>
      <c r="M11" s="747"/>
    </row>
    <row r="12" spans="1:13" ht="13.5" x14ac:dyDescent="0.25">
      <c r="A12" s="760" t="str">
        <f>'Org structure'!E7</f>
        <v>1.3 - Disaster Management</v>
      </c>
      <c r="B12" s="915"/>
      <c r="C12" s="746"/>
      <c r="D12" s="745"/>
      <c r="E12" s="745"/>
      <c r="F12" s="745"/>
      <c r="G12" s="745"/>
      <c r="H12" s="745"/>
      <c r="I12" s="745"/>
      <c r="J12" s="75">
        <f t="shared" si="1"/>
        <v>0</v>
      </c>
      <c r="K12" s="75">
        <f t="shared" si="2"/>
        <v>0</v>
      </c>
      <c r="L12" s="745"/>
      <c r="M12" s="747"/>
    </row>
    <row r="13" spans="1:13" ht="13.5" x14ac:dyDescent="0.25">
      <c r="A13" s="760" t="str">
        <f>'Org structure'!E8</f>
        <v>1.6 - Legal Services</v>
      </c>
      <c r="B13" s="915"/>
      <c r="C13" s="746">
        <v>129</v>
      </c>
      <c r="D13" s="745"/>
      <c r="E13" s="745"/>
      <c r="F13" s="745"/>
      <c r="G13" s="745"/>
      <c r="H13" s="745"/>
      <c r="I13" s="745"/>
      <c r="J13" s="75">
        <f t="shared" si="1"/>
        <v>0</v>
      </c>
      <c r="K13" s="75">
        <f t="shared" si="2"/>
        <v>129</v>
      </c>
      <c r="L13" s="745">
        <v>136.095</v>
      </c>
      <c r="M13" s="747">
        <v>143.58022500000001</v>
      </c>
    </row>
    <row r="14" spans="1:13" ht="13.5" x14ac:dyDescent="0.25">
      <c r="A14" s="760">
        <f>'Org structure'!E9</f>
        <v>0</v>
      </c>
      <c r="B14" s="915"/>
      <c r="C14" s="746"/>
      <c r="D14" s="745"/>
      <c r="E14" s="745"/>
      <c r="F14" s="745"/>
      <c r="G14" s="745"/>
      <c r="H14" s="745"/>
      <c r="I14" s="745"/>
      <c r="J14" s="75">
        <f t="shared" si="1"/>
        <v>0</v>
      </c>
      <c r="K14" s="75">
        <f t="shared" si="2"/>
        <v>0</v>
      </c>
      <c r="L14" s="745"/>
      <c r="M14" s="747"/>
    </row>
    <row r="15" spans="1:13" ht="13.5" x14ac:dyDescent="0.25">
      <c r="A15" s="760">
        <f>'Org structure'!E10</f>
        <v>0</v>
      </c>
      <c r="B15" s="915"/>
      <c r="C15" s="746"/>
      <c r="D15" s="745"/>
      <c r="E15" s="745"/>
      <c r="F15" s="745"/>
      <c r="G15" s="745"/>
      <c r="H15" s="745"/>
      <c r="I15" s="745"/>
      <c r="J15" s="75">
        <f t="shared" si="1"/>
        <v>0</v>
      </c>
      <c r="K15" s="75">
        <f t="shared" si="2"/>
        <v>0</v>
      </c>
      <c r="L15" s="745"/>
      <c r="M15" s="747"/>
    </row>
    <row r="16" spans="1:13" ht="13.5" x14ac:dyDescent="0.25">
      <c r="A16" s="760">
        <f>'Org structure'!E11</f>
        <v>0</v>
      </c>
      <c r="B16" s="915"/>
      <c r="C16" s="746"/>
      <c r="D16" s="745"/>
      <c r="E16" s="745"/>
      <c r="F16" s="745"/>
      <c r="G16" s="745"/>
      <c r="H16" s="745"/>
      <c r="I16" s="745"/>
      <c r="J16" s="75">
        <f t="shared" si="1"/>
        <v>0</v>
      </c>
      <c r="K16" s="75">
        <f t="shared" si="2"/>
        <v>0</v>
      </c>
      <c r="L16" s="745"/>
      <c r="M16" s="747"/>
    </row>
    <row r="17" spans="1:13" ht="13.5" x14ac:dyDescent="0.25">
      <c r="A17" s="760">
        <f>'Org structure'!E12</f>
        <v>0</v>
      </c>
      <c r="B17" s="915"/>
      <c r="C17" s="746"/>
      <c r="D17" s="745"/>
      <c r="E17" s="745"/>
      <c r="F17" s="745"/>
      <c r="G17" s="745"/>
      <c r="H17" s="745"/>
      <c r="I17" s="745"/>
      <c r="J17" s="75">
        <f t="shared" si="1"/>
        <v>0</v>
      </c>
      <c r="K17" s="75">
        <f t="shared" si="2"/>
        <v>0</v>
      </c>
      <c r="L17" s="745"/>
      <c r="M17" s="747"/>
    </row>
    <row r="18" spans="1:13" ht="13.5" x14ac:dyDescent="0.25">
      <c r="A18" s="757" t="str">
        <f>'Org structure'!A3</f>
        <v>Vote 2 - Planning &amp; Economic Development</v>
      </c>
      <c r="B18" s="914"/>
      <c r="C18" s="744">
        <f>SUM(C19:C28)</f>
        <v>563555</v>
      </c>
      <c r="D18" s="743">
        <f t="shared" ref="D18:I18" si="3">SUM(D19:D28)</f>
        <v>0</v>
      </c>
      <c r="E18" s="743">
        <f t="shared" si="3"/>
        <v>0</v>
      </c>
      <c r="F18" s="743">
        <f t="shared" si="3"/>
        <v>0</v>
      </c>
      <c r="G18" s="743">
        <f t="shared" si="3"/>
        <v>0</v>
      </c>
      <c r="H18" s="743">
        <f t="shared" si="3"/>
        <v>0</v>
      </c>
      <c r="I18" s="743">
        <f t="shared" si="3"/>
        <v>0</v>
      </c>
      <c r="J18" s="75">
        <f t="shared" si="1"/>
        <v>0</v>
      </c>
      <c r="K18" s="75">
        <f t="shared" si="2"/>
        <v>563555</v>
      </c>
      <c r="L18" s="743">
        <f>SUM(L19:L28)</f>
        <v>594550.52500000002</v>
      </c>
      <c r="M18" s="771">
        <f>SUM(M19:M28)</f>
        <v>627250.80387499998</v>
      </c>
    </row>
    <row r="19" spans="1:13" ht="13.5" x14ac:dyDescent="0.25">
      <c r="A19" s="760" t="str">
        <f>'Org structure'!E14</f>
        <v>2.1 - Administration Strategy &amp; Development</v>
      </c>
      <c r="B19" s="915"/>
      <c r="C19" s="746"/>
      <c r="D19" s="745"/>
      <c r="E19" s="745"/>
      <c r="F19" s="745"/>
      <c r="G19" s="745"/>
      <c r="H19" s="745"/>
      <c r="I19" s="745"/>
      <c r="J19" s="75">
        <f t="shared" si="1"/>
        <v>0</v>
      </c>
      <c r="K19" s="75">
        <f t="shared" si="2"/>
        <v>0</v>
      </c>
      <c r="L19" s="745"/>
      <c r="M19" s="747"/>
    </row>
    <row r="20" spans="1:13" ht="13.5" x14ac:dyDescent="0.25">
      <c r="A20" s="760" t="str">
        <f>'Org structure'!E15</f>
        <v>2.2 - Local Economic Development</v>
      </c>
      <c r="B20" s="915"/>
      <c r="C20" s="746">
        <v>413555</v>
      </c>
      <c r="D20" s="745"/>
      <c r="E20" s="745"/>
      <c r="F20" s="745"/>
      <c r="G20" s="745"/>
      <c r="H20" s="745"/>
      <c r="I20" s="745"/>
      <c r="J20" s="75">
        <f t="shared" si="1"/>
        <v>0</v>
      </c>
      <c r="K20" s="75">
        <f t="shared" si="2"/>
        <v>413555</v>
      </c>
      <c r="L20" s="745">
        <v>436300.52500000002</v>
      </c>
      <c r="M20" s="747">
        <v>460297.05387499998</v>
      </c>
    </row>
    <row r="21" spans="1:13" ht="13.5" x14ac:dyDescent="0.25">
      <c r="A21" s="760" t="str">
        <f>'Org structure'!E16</f>
        <v>2.3 - Town &amp; Regional Planning</v>
      </c>
      <c r="B21" s="915"/>
      <c r="C21" s="746">
        <v>150000</v>
      </c>
      <c r="D21" s="745"/>
      <c r="E21" s="745"/>
      <c r="F21" s="745"/>
      <c r="G21" s="745"/>
      <c r="H21" s="745"/>
      <c r="I21" s="745"/>
      <c r="J21" s="75">
        <f t="shared" si="1"/>
        <v>0</v>
      </c>
      <c r="K21" s="75">
        <f t="shared" si="2"/>
        <v>150000</v>
      </c>
      <c r="L21" s="745">
        <v>158250</v>
      </c>
      <c r="M21" s="747">
        <v>166953.75</v>
      </c>
    </row>
    <row r="22" spans="1:13" ht="13.5" x14ac:dyDescent="0.25">
      <c r="A22" s="760" t="str">
        <f>'Org structure'!E17</f>
        <v>2.4 - Housing Administration</v>
      </c>
      <c r="B22" s="915"/>
      <c r="C22" s="746"/>
      <c r="D22" s="745"/>
      <c r="E22" s="745"/>
      <c r="F22" s="745"/>
      <c r="G22" s="745"/>
      <c r="H22" s="745"/>
      <c r="I22" s="745"/>
      <c r="J22" s="75">
        <f t="shared" si="1"/>
        <v>0</v>
      </c>
      <c r="K22" s="75">
        <f t="shared" si="2"/>
        <v>0</v>
      </c>
      <c r="L22" s="745"/>
      <c r="M22" s="747"/>
    </row>
    <row r="23" spans="1:13" ht="13.5" x14ac:dyDescent="0.25">
      <c r="A23" s="760" t="str">
        <f>'Org structure'!E18</f>
        <v>2.5 - SATELITE OFFICE: NKOWANKOWA</v>
      </c>
      <c r="B23" s="915"/>
      <c r="C23" s="746"/>
      <c r="D23" s="745"/>
      <c r="E23" s="745"/>
      <c r="F23" s="745"/>
      <c r="G23" s="745"/>
      <c r="H23" s="745"/>
      <c r="I23" s="745"/>
      <c r="J23" s="75">
        <f t="shared" si="1"/>
        <v>0</v>
      </c>
      <c r="K23" s="75">
        <f t="shared" si="2"/>
        <v>0</v>
      </c>
      <c r="L23" s="745"/>
      <c r="M23" s="747"/>
    </row>
    <row r="24" spans="1:13" ht="13.5" x14ac:dyDescent="0.25">
      <c r="A24" s="760" t="str">
        <f>'Org structure'!E19</f>
        <v>2.6 - SATELITE OFFICE: LENYENYE</v>
      </c>
      <c r="B24" s="915"/>
      <c r="C24" s="746"/>
      <c r="D24" s="745"/>
      <c r="E24" s="745"/>
      <c r="F24" s="745"/>
      <c r="G24" s="745"/>
      <c r="H24" s="745"/>
      <c r="I24" s="745"/>
      <c r="J24" s="75">
        <f t="shared" si="1"/>
        <v>0</v>
      </c>
      <c r="K24" s="75">
        <f t="shared" si="2"/>
        <v>0</v>
      </c>
      <c r="L24" s="745"/>
      <c r="M24" s="747"/>
    </row>
    <row r="25" spans="1:13" ht="13.5" x14ac:dyDescent="0.25">
      <c r="A25" s="760" t="str">
        <f>'Org structure'!E20</f>
        <v>2.7 - SATELITE OFFICE: LETSITELE</v>
      </c>
      <c r="B25" s="915"/>
      <c r="C25" s="746"/>
      <c r="D25" s="745"/>
      <c r="E25" s="745"/>
      <c r="F25" s="745"/>
      <c r="G25" s="745"/>
      <c r="H25" s="745"/>
      <c r="I25" s="745"/>
      <c r="J25" s="75">
        <f t="shared" si="1"/>
        <v>0</v>
      </c>
      <c r="K25" s="75">
        <f t="shared" si="2"/>
        <v>0</v>
      </c>
      <c r="L25" s="745"/>
      <c r="M25" s="747"/>
    </row>
    <row r="26" spans="1:13" ht="13.5" x14ac:dyDescent="0.25">
      <c r="A26" s="760">
        <f>'Org structure'!E21</f>
        <v>0</v>
      </c>
      <c r="B26" s="915"/>
      <c r="C26" s="746"/>
      <c r="D26" s="745"/>
      <c r="E26" s="745"/>
      <c r="F26" s="745"/>
      <c r="G26" s="745"/>
      <c r="H26" s="745"/>
      <c r="I26" s="745"/>
      <c r="J26" s="75">
        <f t="shared" si="1"/>
        <v>0</v>
      </c>
      <c r="K26" s="75">
        <f t="shared" si="2"/>
        <v>0</v>
      </c>
      <c r="L26" s="745"/>
      <c r="M26" s="747"/>
    </row>
    <row r="27" spans="1:13" ht="13.5" x14ac:dyDescent="0.25">
      <c r="A27" s="760">
        <f>'Org structure'!E22</f>
        <v>0</v>
      </c>
      <c r="B27" s="915"/>
      <c r="C27" s="746"/>
      <c r="D27" s="745"/>
      <c r="E27" s="745"/>
      <c r="F27" s="745"/>
      <c r="G27" s="745"/>
      <c r="H27" s="745"/>
      <c r="I27" s="745"/>
      <c r="J27" s="75">
        <f t="shared" si="1"/>
        <v>0</v>
      </c>
      <c r="K27" s="75">
        <f t="shared" si="2"/>
        <v>0</v>
      </c>
      <c r="L27" s="745"/>
      <c r="M27" s="747"/>
    </row>
    <row r="28" spans="1:13" ht="13.5" x14ac:dyDescent="0.25">
      <c r="A28" s="760">
        <f>'Org structure'!E23</f>
        <v>0</v>
      </c>
      <c r="B28" s="915"/>
      <c r="C28" s="746"/>
      <c r="D28" s="745"/>
      <c r="E28" s="745"/>
      <c r="F28" s="745"/>
      <c r="G28" s="745"/>
      <c r="H28" s="745"/>
      <c r="I28" s="745"/>
      <c r="J28" s="75">
        <f t="shared" si="1"/>
        <v>0</v>
      </c>
      <c r="K28" s="75">
        <f t="shared" si="2"/>
        <v>0</v>
      </c>
      <c r="L28" s="745"/>
      <c r="M28" s="747"/>
    </row>
    <row r="29" spans="1:13" ht="13.5" x14ac:dyDescent="0.25">
      <c r="A29" s="757" t="str">
        <f>'Org structure'!A4</f>
        <v>Vote 3 - Financial Services</v>
      </c>
      <c r="B29" s="914"/>
      <c r="C29" s="744">
        <f t="shared" ref="C29:I29" si="4">SUM(C30:C39)</f>
        <v>450215650</v>
      </c>
      <c r="D29" s="743">
        <f t="shared" si="4"/>
        <v>0</v>
      </c>
      <c r="E29" s="743">
        <f t="shared" si="4"/>
        <v>0</v>
      </c>
      <c r="F29" s="743">
        <f t="shared" si="4"/>
        <v>0</v>
      </c>
      <c r="G29" s="743">
        <f t="shared" si="4"/>
        <v>0</v>
      </c>
      <c r="H29" s="743">
        <f t="shared" si="4"/>
        <v>0</v>
      </c>
      <c r="I29" s="743">
        <f t="shared" si="4"/>
        <v>0</v>
      </c>
      <c r="J29" s="75">
        <f t="shared" si="1"/>
        <v>0</v>
      </c>
      <c r="K29" s="75">
        <f t="shared" si="2"/>
        <v>450215650</v>
      </c>
      <c r="L29" s="743">
        <f>SUM(L30:L39)</f>
        <v>495323615.75</v>
      </c>
      <c r="M29" s="771">
        <f>SUM(M30:M39)</f>
        <v>536356449.61625004</v>
      </c>
    </row>
    <row r="30" spans="1:13" ht="13.5" x14ac:dyDescent="0.25">
      <c r="A30" s="760" t="str">
        <f>'Org structure'!E25</f>
        <v>3.1 - Administration Finance</v>
      </c>
      <c r="B30" s="915"/>
      <c r="C30" s="746">
        <v>91745550</v>
      </c>
      <c r="D30" s="745"/>
      <c r="E30" s="745"/>
      <c r="F30" s="745"/>
      <c r="G30" s="745"/>
      <c r="H30" s="745"/>
      <c r="I30" s="745"/>
      <c r="J30" s="75">
        <f t="shared" si="1"/>
        <v>0</v>
      </c>
      <c r="K30" s="75">
        <f t="shared" si="2"/>
        <v>91745550</v>
      </c>
      <c r="L30" s="745">
        <v>96791555.25</v>
      </c>
      <c r="M30" s="747">
        <v>102115090.78874999</v>
      </c>
    </row>
    <row r="31" spans="1:13" ht="13.5" x14ac:dyDescent="0.25">
      <c r="A31" s="760" t="str">
        <f>'Org structure'!E26</f>
        <v>3.2 - Budget office</v>
      </c>
      <c r="B31" s="915"/>
      <c r="C31" s="746">
        <v>10946000</v>
      </c>
      <c r="D31" s="745"/>
      <c r="E31" s="745"/>
      <c r="F31" s="745"/>
      <c r="G31" s="745"/>
      <c r="H31" s="745"/>
      <c r="I31" s="745"/>
      <c r="J31" s="75">
        <f t="shared" si="1"/>
        <v>0</v>
      </c>
      <c r="K31" s="75">
        <f t="shared" si="2"/>
        <v>10946000</v>
      </c>
      <c r="L31" s="745">
        <v>11430055</v>
      </c>
      <c r="M31" s="747">
        <v>11940733.025</v>
      </c>
    </row>
    <row r="32" spans="1:13" ht="13.5" x14ac:dyDescent="0.25">
      <c r="A32" s="760" t="str">
        <f>'Org structure'!E27</f>
        <v>3.3 - Revenue</v>
      </c>
      <c r="B32" s="915"/>
      <c r="C32" s="746">
        <v>345024100</v>
      </c>
      <c r="D32" s="745"/>
      <c r="E32" s="745"/>
      <c r="F32" s="745"/>
      <c r="G32" s="745"/>
      <c r="H32" s="745"/>
      <c r="I32" s="745"/>
      <c r="J32" s="75">
        <f t="shared" si="1"/>
        <v>0</v>
      </c>
      <c r="K32" s="75">
        <f t="shared" si="2"/>
        <v>345024100</v>
      </c>
      <c r="L32" s="745">
        <v>384464505.5</v>
      </c>
      <c r="M32" s="747">
        <v>419518063.30250001</v>
      </c>
    </row>
    <row r="33" spans="1:13" ht="13.5" x14ac:dyDescent="0.25">
      <c r="A33" s="760" t="str">
        <f>'Org structure'!E28</f>
        <v>3.4 - Expenditure</v>
      </c>
      <c r="B33" s="915"/>
      <c r="C33" s="746"/>
      <c r="D33" s="745"/>
      <c r="E33" s="745"/>
      <c r="F33" s="745"/>
      <c r="G33" s="745"/>
      <c r="H33" s="745"/>
      <c r="I33" s="745"/>
      <c r="J33" s="75">
        <f t="shared" si="1"/>
        <v>0</v>
      </c>
      <c r="K33" s="75">
        <f t="shared" si="2"/>
        <v>0</v>
      </c>
      <c r="L33" s="745"/>
      <c r="M33" s="747"/>
    </row>
    <row r="34" spans="1:13" ht="13.5" x14ac:dyDescent="0.25">
      <c r="A34" s="760" t="str">
        <f>'Org structure'!E29</f>
        <v>3.5 - Inventory</v>
      </c>
      <c r="B34" s="915"/>
      <c r="C34" s="746">
        <v>2500000</v>
      </c>
      <c r="D34" s="745"/>
      <c r="E34" s="745"/>
      <c r="F34" s="745"/>
      <c r="G34" s="745"/>
      <c r="H34" s="745"/>
      <c r="I34" s="745"/>
      <c r="J34" s="75">
        <f t="shared" si="1"/>
        <v>0</v>
      </c>
      <c r="K34" s="75">
        <f t="shared" si="2"/>
        <v>2500000</v>
      </c>
      <c r="L34" s="745">
        <v>2637500</v>
      </c>
      <c r="M34" s="747">
        <v>2782562.5</v>
      </c>
    </row>
    <row r="35" spans="1:13" ht="13.5" x14ac:dyDescent="0.25">
      <c r="A35" s="760" t="str">
        <f>'Org structure'!E30</f>
        <v>3.6 - Supply Chain Management</v>
      </c>
      <c r="B35" s="915"/>
      <c r="C35" s="746"/>
      <c r="D35" s="745"/>
      <c r="E35" s="745"/>
      <c r="F35" s="745"/>
      <c r="G35" s="745"/>
      <c r="H35" s="745"/>
      <c r="I35" s="745"/>
      <c r="J35" s="75">
        <f t="shared" si="1"/>
        <v>0</v>
      </c>
      <c r="K35" s="75">
        <f t="shared" si="2"/>
        <v>0</v>
      </c>
      <c r="L35" s="745"/>
      <c r="M35" s="747"/>
    </row>
    <row r="36" spans="1:13" ht="13.5" x14ac:dyDescent="0.25">
      <c r="A36" s="760">
        <f>'Org structure'!E31</f>
        <v>0</v>
      </c>
      <c r="B36" s="915"/>
      <c r="C36" s="746"/>
      <c r="D36" s="745"/>
      <c r="E36" s="745"/>
      <c r="F36" s="745"/>
      <c r="G36" s="745"/>
      <c r="H36" s="745"/>
      <c r="I36" s="745"/>
      <c r="J36" s="75">
        <f t="shared" si="1"/>
        <v>0</v>
      </c>
      <c r="K36" s="75">
        <f t="shared" si="2"/>
        <v>0</v>
      </c>
      <c r="L36" s="745"/>
      <c r="M36" s="747"/>
    </row>
    <row r="37" spans="1:13" ht="13.5" x14ac:dyDescent="0.25">
      <c r="A37" s="760">
        <f>'Org structure'!E32</f>
        <v>0</v>
      </c>
      <c r="B37" s="915"/>
      <c r="C37" s="746"/>
      <c r="D37" s="745"/>
      <c r="E37" s="745"/>
      <c r="F37" s="745"/>
      <c r="G37" s="745"/>
      <c r="H37" s="745"/>
      <c r="I37" s="745"/>
      <c r="J37" s="75">
        <f t="shared" si="1"/>
        <v>0</v>
      </c>
      <c r="K37" s="75">
        <f t="shared" si="2"/>
        <v>0</v>
      </c>
      <c r="L37" s="745"/>
      <c r="M37" s="747"/>
    </row>
    <row r="38" spans="1:13" ht="13.5" x14ac:dyDescent="0.25">
      <c r="A38" s="760">
        <f>'Org structure'!E33</f>
        <v>0</v>
      </c>
      <c r="B38" s="915"/>
      <c r="C38" s="746"/>
      <c r="D38" s="745"/>
      <c r="E38" s="745"/>
      <c r="F38" s="745"/>
      <c r="G38" s="745"/>
      <c r="H38" s="745"/>
      <c r="I38" s="745"/>
      <c r="J38" s="75">
        <f t="shared" si="1"/>
        <v>0</v>
      </c>
      <c r="K38" s="75">
        <f t="shared" si="2"/>
        <v>0</v>
      </c>
      <c r="L38" s="745"/>
      <c r="M38" s="747"/>
    </row>
    <row r="39" spans="1:13" ht="13.5" x14ac:dyDescent="0.25">
      <c r="A39" s="760">
        <f>'Org structure'!E34</f>
        <v>0</v>
      </c>
      <c r="B39" s="915"/>
      <c r="C39" s="746"/>
      <c r="D39" s="745"/>
      <c r="E39" s="745"/>
      <c r="F39" s="745"/>
      <c r="G39" s="745"/>
      <c r="H39" s="745"/>
      <c r="I39" s="745"/>
      <c r="J39" s="75">
        <f t="shared" si="1"/>
        <v>0</v>
      </c>
      <c r="K39" s="75">
        <f t="shared" si="2"/>
        <v>0</v>
      </c>
      <c r="L39" s="745"/>
      <c r="M39" s="747"/>
    </row>
    <row r="40" spans="1:13" ht="13.5" x14ac:dyDescent="0.25">
      <c r="A40" s="757" t="str">
        <f>'Org structure'!A5</f>
        <v>Vote 4 - Corporate Services</v>
      </c>
      <c r="B40" s="914"/>
      <c r="C40" s="744">
        <f t="shared" ref="C40:I40" si="5">SUM(C41:C50)</f>
        <v>1228</v>
      </c>
      <c r="D40" s="743">
        <f t="shared" si="5"/>
        <v>0</v>
      </c>
      <c r="E40" s="743">
        <f t="shared" si="5"/>
        <v>0</v>
      </c>
      <c r="F40" s="743">
        <f t="shared" si="5"/>
        <v>0</v>
      </c>
      <c r="G40" s="743">
        <f t="shared" si="5"/>
        <v>0</v>
      </c>
      <c r="H40" s="743">
        <f t="shared" si="5"/>
        <v>0</v>
      </c>
      <c r="I40" s="743">
        <f t="shared" si="5"/>
        <v>0</v>
      </c>
      <c r="J40" s="75">
        <f t="shared" si="1"/>
        <v>0</v>
      </c>
      <c r="K40" s="75">
        <f t="shared" si="2"/>
        <v>1228</v>
      </c>
      <c r="L40" s="743">
        <f>SUM(L41:L50)</f>
        <v>1295.54</v>
      </c>
      <c r="M40" s="771">
        <f>SUM(M41:M50)</f>
        <v>1366.7947000000001</v>
      </c>
    </row>
    <row r="41" spans="1:13" ht="13.5" x14ac:dyDescent="0.25">
      <c r="A41" s="760" t="str">
        <f>'Org structure'!E36</f>
        <v>4.1 - Communications</v>
      </c>
      <c r="B41" s="915"/>
      <c r="C41" s="746"/>
      <c r="D41" s="745"/>
      <c r="E41" s="745"/>
      <c r="F41" s="745"/>
      <c r="G41" s="745"/>
      <c r="H41" s="745"/>
      <c r="I41" s="745"/>
      <c r="J41" s="75">
        <f t="shared" si="1"/>
        <v>0</v>
      </c>
      <c r="K41" s="75">
        <f t="shared" si="2"/>
        <v>0</v>
      </c>
      <c r="L41" s="745"/>
      <c r="M41" s="747"/>
    </row>
    <row r="42" spans="1:13" ht="13.5" x14ac:dyDescent="0.25">
      <c r="A42" s="760" t="str">
        <f>'Org structure'!E37</f>
        <v>4.2 - Public Participation &amp; Project Support</v>
      </c>
      <c r="B42" s="915"/>
      <c r="C42" s="746"/>
      <c r="D42" s="745"/>
      <c r="E42" s="745"/>
      <c r="F42" s="745"/>
      <c r="G42" s="745"/>
      <c r="H42" s="745"/>
      <c r="I42" s="745"/>
      <c r="J42" s="75">
        <f t="shared" si="1"/>
        <v>0</v>
      </c>
      <c r="K42" s="75">
        <f t="shared" si="2"/>
        <v>0</v>
      </c>
      <c r="L42" s="745"/>
      <c r="M42" s="747"/>
    </row>
    <row r="43" spans="1:13" ht="13.5" x14ac:dyDescent="0.25">
      <c r="A43" s="760" t="str">
        <f>'Org structure'!E38</f>
        <v>4.8 - Information Technolgy</v>
      </c>
      <c r="B43" s="915"/>
      <c r="C43" s="746"/>
      <c r="D43" s="745"/>
      <c r="E43" s="745"/>
      <c r="F43" s="745"/>
      <c r="G43" s="745"/>
      <c r="H43" s="745"/>
      <c r="I43" s="745"/>
      <c r="J43" s="75">
        <f t="shared" si="1"/>
        <v>0</v>
      </c>
      <c r="K43" s="75">
        <f t="shared" si="2"/>
        <v>0</v>
      </c>
      <c r="L43" s="745"/>
      <c r="M43" s="747"/>
    </row>
    <row r="44" spans="1:13" ht="13.5" x14ac:dyDescent="0.25">
      <c r="A44" s="760" t="str">
        <f>'Org structure'!E39</f>
        <v>4.3 - Administration HR &amp; Corporate</v>
      </c>
      <c r="B44" s="915"/>
      <c r="C44" s="746">
        <v>25</v>
      </c>
      <c r="D44" s="745"/>
      <c r="E44" s="745"/>
      <c r="F44" s="745"/>
      <c r="G44" s="745"/>
      <c r="H44" s="745"/>
      <c r="I44" s="745"/>
      <c r="J44" s="75">
        <f t="shared" si="1"/>
        <v>0</v>
      </c>
      <c r="K44" s="75">
        <f t="shared" si="2"/>
        <v>25</v>
      </c>
      <c r="L44" s="745">
        <v>26.375</v>
      </c>
      <c r="M44" s="747">
        <v>27.825624999999999</v>
      </c>
    </row>
    <row r="45" spans="1:13" ht="13.5" x14ac:dyDescent="0.25">
      <c r="A45" s="760" t="str">
        <f>'Org structure'!E40</f>
        <v>4.4 - Human Resources</v>
      </c>
      <c r="B45" s="915"/>
      <c r="C45" s="746"/>
      <c r="D45" s="745"/>
      <c r="E45" s="745"/>
      <c r="F45" s="745"/>
      <c r="G45" s="745"/>
      <c r="H45" s="745"/>
      <c r="I45" s="745"/>
      <c r="J45" s="75">
        <f t="shared" si="1"/>
        <v>0</v>
      </c>
      <c r="K45" s="75">
        <f t="shared" si="2"/>
        <v>0</v>
      </c>
      <c r="L45" s="745"/>
      <c r="M45" s="747"/>
    </row>
    <row r="46" spans="1:13" ht="13.5" x14ac:dyDescent="0.25">
      <c r="A46" s="760" t="str">
        <f>'Org structure'!E41</f>
        <v>4.5 - Occupational Health &amp; safety</v>
      </c>
      <c r="B46" s="915"/>
      <c r="C46" s="746"/>
      <c r="D46" s="745"/>
      <c r="E46" s="745"/>
      <c r="F46" s="745"/>
      <c r="G46" s="745"/>
      <c r="H46" s="745"/>
      <c r="I46" s="745"/>
      <c r="J46" s="75">
        <f t="shared" si="1"/>
        <v>0</v>
      </c>
      <c r="K46" s="75">
        <f t="shared" si="2"/>
        <v>0</v>
      </c>
      <c r="L46" s="745"/>
      <c r="M46" s="747"/>
    </row>
    <row r="47" spans="1:13" ht="13.5" x14ac:dyDescent="0.25">
      <c r="A47" s="760" t="str">
        <f>'Org structure'!E42</f>
        <v>4.6 - Corporate Services</v>
      </c>
      <c r="B47" s="915"/>
      <c r="C47" s="746">
        <v>103</v>
      </c>
      <c r="D47" s="745"/>
      <c r="E47" s="745"/>
      <c r="F47" s="745"/>
      <c r="G47" s="745"/>
      <c r="H47" s="745"/>
      <c r="I47" s="745"/>
      <c r="J47" s="75">
        <f t="shared" si="1"/>
        <v>0</v>
      </c>
      <c r="K47" s="75">
        <f t="shared" si="2"/>
        <v>103</v>
      </c>
      <c r="L47" s="745">
        <v>108.66500000000001</v>
      </c>
      <c r="M47" s="747">
        <v>114.641575</v>
      </c>
    </row>
    <row r="48" spans="1:13" ht="13.5" x14ac:dyDescent="0.25">
      <c r="A48" s="760" t="str">
        <f>'Org structure'!E43</f>
        <v>4.7 - Council Expenditure</v>
      </c>
      <c r="B48" s="915"/>
      <c r="C48" s="746">
        <v>1100</v>
      </c>
      <c r="D48" s="745"/>
      <c r="E48" s="745"/>
      <c r="F48" s="745"/>
      <c r="G48" s="745"/>
      <c r="H48" s="745"/>
      <c r="I48" s="745"/>
      <c r="J48" s="75">
        <f t="shared" si="1"/>
        <v>0</v>
      </c>
      <c r="K48" s="75">
        <f t="shared" si="2"/>
        <v>1100</v>
      </c>
      <c r="L48" s="745">
        <v>1160.5</v>
      </c>
      <c r="M48" s="747">
        <v>1224.3275000000001</v>
      </c>
    </row>
    <row r="49" spans="1:13" ht="13.5" x14ac:dyDescent="0.25">
      <c r="A49" s="760" t="str">
        <f>'Org structure'!E44</f>
        <v>4.10 - [Name of sub-vote]</v>
      </c>
      <c r="B49" s="915"/>
      <c r="C49" s="746"/>
      <c r="D49" s="745"/>
      <c r="E49" s="745"/>
      <c r="F49" s="745"/>
      <c r="G49" s="745"/>
      <c r="H49" s="745"/>
      <c r="I49" s="745"/>
      <c r="J49" s="75">
        <f t="shared" si="1"/>
        <v>0</v>
      </c>
      <c r="K49" s="75">
        <f t="shared" si="2"/>
        <v>0</v>
      </c>
      <c r="L49" s="745"/>
      <c r="M49" s="747"/>
    </row>
    <row r="50" spans="1:13" ht="13.5" x14ac:dyDescent="0.25">
      <c r="A50" s="760">
        <f>'Org structure'!E45</f>
        <v>0</v>
      </c>
      <c r="B50" s="915"/>
      <c r="C50" s="746"/>
      <c r="D50" s="745"/>
      <c r="E50" s="745"/>
      <c r="F50" s="745"/>
      <c r="G50" s="745"/>
      <c r="H50" s="745"/>
      <c r="I50" s="745"/>
      <c r="J50" s="75">
        <f t="shared" si="1"/>
        <v>0</v>
      </c>
      <c r="K50" s="75">
        <f t="shared" si="2"/>
        <v>0</v>
      </c>
      <c r="L50" s="745"/>
      <c r="M50" s="747"/>
    </row>
    <row r="51" spans="1:13" ht="13.5" x14ac:dyDescent="0.25">
      <c r="A51" s="757" t="str">
        <f>'Org structure'!A6</f>
        <v>Vote 5 - Community Services</v>
      </c>
      <c r="B51" s="914"/>
      <c r="C51" s="744">
        <f>SUM(C52:C61)</f>
        <v>58393395</v>
      </c>
      <c r="D51" s="743">
        <f t="shared" ref="D51:I51" si="6">SUM(D52:D61)</f>
        <v>0</v>
      </c>
      <c r="E51" s="743">
        <f t="shared" si="6"/>
        <v>0</v>
      </c>
      <c r="F51" s="743">
        <f t="shared" si="6"/>
        <v>0</v>
      </c>
      <c r="G51" s="743">
        <f t="shared" si="6"/>
        <v>0</v>
      </c>
      <c r="H51" s="743">
        <f t="shared" si="6"/>
        <v>0</v>
      </c>
      <c r="I51" s="743">
        <f t="shared" si="6"/>
        <v>0</v>
      </c>
      <c r="J51" s="75">
        <f t="shared" si="1"/>
        <v>0</v>
      </c>
      <c r="K51" s="75">
        <f t="shared" si="2"/>
        <v>58393395</v>
      </c>
      <c r="L51" s="743">
        <f>SUM(L52:L61)</f>
        <v>53792981.725000001</v>
      </c>
      <c r="M51" s="771">
        <f>SUM(M52:M61)</f>
        <v>56596595.719875</v>
      </c>
    </row>
    <row r="52" spans="1:13" ht="13.5" x14ac:dyDescent="0.25">
      <c r="A52" s="760" t="str">
        <f>'Org structure'!E47</f>
        <v>5.1 - Parks &amp; Recreation</v>
      </c>
      <c r="B52" s="915"/>
      <c r="C52" s="746">
        <v>560766</v>
      </c>
      <c r="D52" s="745"/>
      <c r="E52" s="745"/>
      <c r="F52" s="745"/>
      <c r="G52" s="745"/>
      <c r="H52" s="745"/>
      <c r="I52" s="745"/>
      <c r="J52" s="75">
        <f t="shared" si="1"/>
        <v>0</v>
      </c>
      <c r="K52" s="75">
        <f t="shared" si="2"/>
        <v>560766</v>
      </c>
      <c r="L52" s="745">
        <v>591608.13</v>
      </c>
      <c r="M52" s="747">
        <v>624146.57715000003</v>
      </c>
    </row>
    <row r="53" spans="1:13" ht="13.5" x14ac:dyDescent="0.25">
      <c r="A53" s="760" t="str">
        <f>'Org structure'!E48</f>
        <v>5.2 - Administration Community Services</v>
      </c>
      <c r="B53" s="915"/>
      <c r="C53" s="746"/>
      <c r="D53" s="745"/>
      <c r="E53" s="745"/>
      <c r="F53" s="745"/>
      <c r="G53" s="745"/>
      <c r="H53" s="745"/>
      <c r="I53" s="745"/>
      <c r="J53" s="75">
        <f t="shared" si="1"/>
        <v>0</v>
      </c>
      <c r="K53" s="75">
        <f t="shared" si="2"/>
        <v>0</v>
      </c>
      <c r="L53" s="745"/>
      <c r="M53" s="747"/>
    </row>
    <row r="54" spans="1:13" ht="13.5" x14ac:dyDescent="0.25">
      <c r="A54" s="760" t="str">
        <f>'Org structure'!E49</f>
        <v>5.3 - Community Health Services</v>
      </c>
      <c r="B54" s="915"/>
      <c r="C54" s="746"/>
      <c r="D54" s="745"/>
      <c r="E54" s="745"/>
      <c r="F54" s="745"/>
      <c r="G54" s="745"/>
      <c r="H54" s="745"/>
      <c r="I54" s="745"/>
      <c r="J54" s="75">
        <f t="shared" si="1"/>
        <v>0</v>
      </c>
      <c r="K54" s="75">
        <f t="shared" si="2"/>
        <v>0</v>
      </c>
      <c r="L54" s="745"/>
      <c r="M54" s="747"/>
    </row>
    <row r="55" spans="1:13" ht="13.5" x14ac:dyDescent="0.25">
      <c r="A55" s="760" t="str">
        <f>'Org structure'!E50</f>
        <v>5.4 - Enviromental Health Services</v>
      </c>
      <c r="B55" s="915"/>
      <c r="C55" s="746">
        <v>25000</v>
      </c>
      <c r="D55" s="745"/>
      <c r="E55" s="745"/>
      <c r="F55" s="745"/>
      <c r="G55" s="745"/>
      <c r="H55" s="745"/>
      <c r="I55" s="745"/>
      <c r="J55" s="75">
        <f t="shared" si="1"/>
        <v>0</v>
      </c>
      <c r="K55" s="75">
        <f t="shared" si="2"/>
        <v>25000</v>
      </c>
      <c r="L55" s="745">
        <v>26375</v>
      </c>
      <c r="M55" s="747">
        <v>27825.625</v>
      </c>
    </row>
    <row r="56" spans="1:13" ht="13.5" x14ac:dyDescent="0.25">
      <c r="A56" s="760" t="str">
        <f>'Org structure'!E51</f>
        <v>5.5 - Library Services</v>
      </c>
      <c r="B56" s="916"/>
      <c r="C56" s="746">
        <v>65629</v>
      </c>
      <c r="D56" s="745"/>
      <c r="E56" s="745"/>
      <c r="F56" s="745"/>
      <c r="G56" s="745"/>
      <c r="H56" s="745"/>
      <c r="I56" s="745"/>
      <c r="J56" s="75">
        <f t="shared" si="1"/>
        <v>0</v>
      </c>
      <c r="K56" s="75">
        <f t="shared" si="2"/>
        <v>65629</v>
      </c>
      <c r="L56" s="745">
        <v>69238.595000000001</v>
      </c>
      <c r="M56" s="747">
        <v>73046.717724999995</v>
      </c>
    </row>
    <row r="57" spans="1:13" ht="13.5" x14ac:dyDescent="0.25">
      <c r="A57" s="760" t="str">
        <f>'Org structure'!E52</f>
        <v>5.6 - Solid Waste</v>
      </c>
      <c r="B57" s="915"/>
      <c r="C57" s="746">
        <v>57742000</v>
      </c>
      <c r="D57" s="745"/>
      <c r="E57" s="745"/>
      <c r="F57" s="745"/>
      <c r="G57" s="745"/>
      <c r="H57" s="745"/>
      <c r="I57" s="745"/>
      <c r="J57" s="75">
        <f t="shared" si="1"/>
        <v>0</v>
      </c>
      <c r="K57" s="75">
        <f t="shared" si="2"/>
        <v>57742000</v>
      </c>
      <c r="L57" s="745">
        <v>53105760</v>
      </c>
      <c r="M57" s="747">
        <v>55871576.799999997</v>
      </c>
    </row>
    <row r="58" spans="1:13" ht="13.5" x14ac:dyDescent="0.25">
      <c r="A58" s="760" t="str">
        <f>'Org structure'!E53</f>
        <v>5.7 - Street Cleansing</v>
      </c>
      <c r="B58" s="915"/>
      <c r="C58" s="746"/>
      <c r="D58" s="745"/>
      <c r="E58" s="745"/>
      <c r="F58" s="745"/>
      <c r="G58" s="745"/>
      <c r="H58" s="745"/>
      <c r="I58" s="745"/>
      <c r="J58" s="75">
        <f t="shared" si="1"/>
        <v>0</v>
      </c>
      <c r="K58" s="75">
        <f t="shared" si="2"/>
        <v>0</v>
      </c>
      <c r="L58" s="745"/>
      <c r="M58" s="747"/>
    </row>
    <row r="59" spans="1:13" ht="13.5" x14ac:dyDescent="0.25">
      <c r="A59" s="760" t="str">
        <f>'Org structure'!E54</f>
        <v>5.8 - Public Toilets</v>
      </c>
      <c r="B59" s="915"/>
      <c r="C59" s="746"/>
      <c r="D59" s="745"/>
      <c r="E59" s="745"/>
      <c r="F59" s="745"/>
      <c r="G59" s="745"/>
      <c r="H59" s="745"/>
      <c r="I59" s="745"/>
      <c r="J59" s="75">
        <f t="shared" si="1"/>
        <v>0</v>
      </c>
      <c r="K59" s="75">
        <f t="shared" si="2"/>
        <v>0</v>
      </c>
      <c r="L59" s="745"/>
      <c r="M59" s="747"/>
    </row>
    <row r="60" spans="1:13" ht="13.5" x14ac:dyDescent="0.25">
      <c r="A60" s="760">
        <f>'Org structure'!E55</f>
        <v>0</v>
      </c>
      <c r="B60" s="915"/>
      <c r="C60" s="746"/>
      <c r="D60" s="745"/>
      <c r="E60" s="745"/>
      <c r="F60" s="745"/>
      <c r="G60" s="745"/>
      <c r="H60" s="745"/>
      <c r="I60" s="745"/>
      <c r="J60" s="75">
        <f t="shared" si="1"/>
        <v>0</v>
      </c>
      <c r="K60" s="75">
        <f t="shared" si="2"/>
        <v>0</v>
      </c>
      <c r="L60" s="745"/>
      <c r="M60" s="747"/>
    </row>
    <row r="61" spans="1:13" ht="13.5" x14ac:dyDescent="0.25">
      <c r="A61" s="760">
        <f>'Org structure'!E56</f>
        <v>0</v>
      </c>
      <c r="B61" s="915"/>
      <c r="C61" s="746"/>
      <c r="D61" s="745"/>
      <c r="E61" s="745"/>
      <c r="F61" s="745"/>
      <c r="G61" s="745"/>
      <c r="H61" s="745"/>
      <c r="I61" s="745"/>
      <c r="J61" s="75">
        <f t="shared" si="1"/>
        <v>0</v>
      </c>
      <c r="K61" s="75">
        <f t="shared" si="2"/>
        <v>0</v>
      </c>
      <c r="L61" s="745"/>
      <c r="M61" s="747"/>
    </row>
    <row r="62" spans="1:13" ht="13.5" x14ac:dyDescent="0.25">
      <c r="A62" s="757" t="str">
        <f>'Org structure'!A7</f>
        <v>Vote 6 - Community Services</v>
      </c>
      <c r="B62" s="914"/>
      <c r="C62" s="744">
        <f>SUM(C63:C72)</f>
        <v>55186291</v>
      </c>
      <c r="D62" s="743">
        <f t="shared" ref="D62:I62" si="7">SUM(D63:D72)</f>
        <v>0</v>
      </c>
      <c r="E62" s="743">
        <f t="shared" si="7"/>
        <v>0</v>
      </c>
      <c r="F62" s="743">
        <f t="shared" si="7"/>
        <v>0</v>
      </c>
      <c r="G62" s="743">
        <f t="shared" si="7"/>
        <v>0</v>
      </c>
      <c r="H62" s="743">
        <f t="shared" si="7"/>
        <v>0</v>
      </c>
      <c r="I62" s="743">
        <f t="shared" si="7"/>
        <v>0</v>
      </c>
      <c r="J62" s="75">
        <f t="shared" si="1"/>
        <v>0</v>
      </c>
      <c r="K62" s="75">
        <f t="shared" si="2"/>
        <v>55186291</v>
      </c>
      <c r="L62" s="743">
        <f>SUM(L63:L72)</f>
        <v>58221537.005000003</v>
      </c>
      <c r="M62" s="771">
        <f>SUM(M63:M72)</f>
        <v>61423721.540275</v>
      </c>
    </row>
    <row r="63" spans="1:13" ht="13.5" x14ac:dyDescent="0.25">
      <c r="A63" s="760" t="str">
        <f>'Org structure'!E58</f>
        <v>6.2 - Administration Transport,safety,Security</v>
      </c>
      <c r="B63" s="915"/>
      <c r="C63" s="746"/>
      <c r="D63" s="745"/>
      <c r="E63" s="745"/>
      <c r="F63" s="745"/>
      <c r="G63" s="745"/>
      <c r="H63" s="745"/>
      <c r="I63" s="745"/>
      <c r="J63" s="75">
        <f t="shared" si="1"/>
        <v>0</v>
      </c>
      <c r="K63" s="75">
        <f t="shared" si="2"/>
        <v>0</v>
      </c>
      <c r="L63" s="745"/>
      <c r="M63" s="747"/>
    </row>
    <row r="64" spans="1:13" ht="13.5" x14ac:dyDescent="0.25">
      <c r="A64" s="760" t="str">
        <f>'Org structure'!E59</f>
        <v>6.3 - Vehicle licencing</v>
      </c>
      <c r="B64" s="915"/>
      <c r="C64" s="746">
        <v>51185291</v>
      </c>
      <c r="D64" s="745"/>
      <c r="E64" s="745"/>
      <c r="F64" s="745"/>
      <c r="G64" s="745"/>
      <c r="H64" s="745"/>
      <c r="I64" s="745"/>
      <c r="J64" s="75">
        <f t="shared" si="1"/>
        <v>0</v>
      </c>
      <c r="K64" s="75">
        <f t="shared" si="2"/>
        <v>51185291</v>
      </c>
      <c r="L64" s="745">
        <v>54000482.005000003</v>
      </c>
      <c r="M64" s="747">
        <v>56970508.515275002</v>
      </c>
    </row>
    <row r="65" spans="1:13" ht="13.5" x14ac:dyDescent="0.25">
      <c r="A65" s="760" t="str">
        <f>'Org structure'!E60</f>
        <v>6.1 - Traffic services</v>
      </c>
      <c r="B65" s="915"/>
      <c r="C65" s="746">
        <v>4001000</v>
      </c>
      <c r="D65" s="745"/>
      <c r="E65" s="745"/>
      <c r="F65" s="745"/>
      <c r="G65" s="745"/>
      <c r="H65" s="745"/>
      <c r="I65" s="745"/>
      <c r="J65" s="75">
        <f t="shared" si="1"/>
        <v>0</v>
      </c>
      <c r="K65" s="75">
        <f t="shared" si="2"/>
        <v>4001000</v>
      </c>
      <c r="L65" s="745">
        <v>4221055</v>
      </c>
      <c r="M65" s="747">
        <v>4453213.0250000004</v>
      </c>
    </row>
    <row r="66" spans="1:13" ht="13.5" x14ac:dyDescent="0.25">
      <c r="A66" s="760">
        <f>'Org structure'!E61</f>
        <v>0</v>
      </c>
      <c r="B66" s="915"/>
      <c r="C66" s="746"/>
      <c r="D66" s="745"/>
      <c r="E66" s="745"/>
      <c r="F66" s="745"/>
      <c r="G66" s="745"/>
      <c r="H66" s="745"/>
      <c r="I66" s="745"/>
      <c r="J66" s="75">
        <f t="shared" si="1"/>
        <v>0</v>
      </c>
      <c r="K66" s="75">
        <f t="shared" si="2"/>
        <v>0</v>
      </c>
      <c r="L66" s="745"/>
      <c r="M66" s="747"/>
    </row>
    <row r="67" spans="1:13" ht="13.5" x14ac:dyDescent="0.25">
      <c r="A67" s="760">
        <f>'Org structure'!E62</f>
        <v>0</v>
      </c>
      <c r="B67" s="915"/>
      <c r="C67" s="746"/>
      <c r="D67" s="745"/>
      <c r="E67" s="745"/>
      <c r="F67" s="745"/>
      <c r="G67" s="745"/>
      <c r="H67" s="745"/>
      <c r="I67" s="745"/>
      <c r="J67" s="75">
        <f t="shared" si="1"/>
        <v>0</v>
      </c>
      <c r="K67" s="75">
        <f t="shared" si="2"/>
        <v>0</v>
      </c>
      <c r="L67" s="745"/>
      <c r="M67" s="747"/>
    </row>
    <row r="68" spans="1:13" ht="13.5" x14ac:dyDescent="0.25">
      <c r="A68" s="760">
        <f>'Org structure'!E63</f>
        <v>0</v>
      </c>
      <c r="B68" s="915"/>
      <c r="C68" s="746"/>
      <c r="D68" s="745"/>
      <c r="E68" s="745"/>
      <c r="F68" s="745"/>
      <c r="G68" s="745"/>
      <c r="H68" s="745"/>
      <c r="I68" s="745"/>
      <c r="J68" s="75">
        <f t="shared" si="1"/>
        <v>0</v>
      </c>
      <c r="K68" s="75">
        <f t="shared" si="2"/>
        <v>0</v>
      </c>
      <c r="L68" s="745"/>
      <c r="M68" s="747"/>
    </row>
    <row r="69" spans="1:13" ht="13.5" x14ac:dyDescent="0.25">
      <c r="A69" s="760">
        <f>'Org structure'!E64</f>
        <v>0</v>
      </c>
      <c r="B69" s="915"/>
      <c r="C69" s="746"/>
      <c r="D69" s="745"/>
      <c r="E69" s="745"/>
      <c r="F69" s="745"/>
      <c r="G69" s="745"/>
      <c r="H69" s="745"/>
      <c r="I69" s="745"/>
      <c r="J69" s="75">
        <f t="shared" si="1"/>
        <v>0</v>
      </c>
      <c r="K69" s="75">
        <f t="shared" si="2"/>
        <v>0</v>
      </c>
      <c r="L69" s="745"/>
      <c r="M69" s="747"/>
    </row>
    <row r="70" spans="1:13" ht="13.5" x14ac:dyDescent="0.25">
      <c r="A70" s="760">
        <f>'Org structure'!E65</f>
        <v>0</v>
      </c>
      <c r="B70" s="915"/>
      <c r="C70" s="746"/>
      <c r="D70" s="745"/>
      <c r="E70" s="745"/>
      <c r="F70" s="745"/>
      <c r="G70" s="745"/>
      <c r="H70" s="745"/>
      <c r="I70" s="745"/>
      <c r="J70" s="75">
        <f t="shared" si="1"/>
        <v>0</v>
      </c>
      <c r="K70" s="75">
        <f t="shared" si="2"/>
        <v>0</v>
      </c>
      <c r="L70" s="745"/>
      <c r="M70" s="747"/>
    </row>
    <row r="71" spans="1:13" ht="13.5" x14ac:dyDescent="0.25">
      <c r="A71" s="760">
        <f>'Org structure'!E66</f>
        <v>0</v>
      </c>
      <c r="B71" s="915"/>
      <c r="C71" s="746"/>
      <c r="D71" s="745"/>
      <c r="E71" s="745"/>
      <c r="F71" s="745"/>
      <c r="G71" s="745"/>
      <c r="H71" s="745"/>
      <c r="I71" s="745"/>
      <c r="J71" s="75">
        <f t="shared" si="1"/>
        <v>0</v>
      </c>
      <c r="K71" s="75">
        <f t="shared" si="2"/>
        <v>0</v>
      </c>
      <c r="L71" s="745"/>
      <c r="M71" s="747"/>
    </row>
    <row r="72" spans="1:13" ht="13.5" x14ac:dyDescent="0.25">
      <c r="A72" s="760">
        <f>'Org structure'!E67</f>
        <v>0</v>
      </c>
      <c r="B72" s="915"/>
      <c r="C72" s="746"/>
      <c r="D72" s="745"/>
      <c r="E72" s="745"/>
      <c r="F72" s="745"/>
      <c r="G72" s="745"/>
      <c r="H72" s="745"/>
      <c r="I72" s="745"/>
      <c r="J72" s="75">
        <f t="shared" ref="J72:J135" si="8">SUM(E72:I72)</f>
        <v>0</v>
      </c>
      <c r="K72" s="75">
        <f t="shared" ref="K72:K135" si="9">IF(D72=0,C72+J72,D72+J72)</f>
        <v>0</v>
      </c>
      <c r="L72" s="745"/>
      <c r="M72" s="747"/>
    </row>
    <row r="73" spans="1:13" ht="13.5" x14ac:dyDescent="0.25">
      <c r="A73" s="757" t="str">
        <f>'Org structure'!A8</f>
        <v>Vote 7 - Electrical Engineering Services</v>
      </c>
      <c r="B73" s="914"/>
      <c r="C73" s="744">
        <f t="shared" ref="C73:I73" si="10">SUM(C74:C83)</f>
        <v>517347000</v>
      </c>
      <c r="D73" s="743">
        <f t="shared" si="10"/>
        <v>0</v>
      </c>
      <c r="E73" s="743">
        <f t="shared" si="10"/>
        <v>0</v>
      </c>
      <c r="F73" s="743">
        <f t="shared" si="10"/>
        <v>0</v>
      </c>
      <c r="G73" s="743">
        <f t="shared" si="10"/>
        <v>0</v>
      </c>
      <c r="H73" s="743">
        <f t="shared" si="10"/>
        <v>0</v>
      </c>
      <c r="I73" s="743">
        <f t="shared" si="10"/>
        <v>0</v>
      </c>
      <c r="J73" s="75">
        <f t="shared" si="8"/>
        <v>0</v>
      </c>
      <c r="K73" s="75">
        <f t="shared" si="9"/>
        <v>517347000</v>
      </c>
      <c r="L73" s="743">
        <f>SUM(L74:L83)</f>
        <v>544925305</v>
      </c>
      <c r="M73" s="771">
        <f>SUM(M74:M83)</f>
        <v>570516196.77499998</v>
      </c>
    </row>
    <row r="74" spans="1:13" ht="13.5" x14ac:dyDescent="0.25">
      <c r="A74" s="760" t="str">
        <f>'Org structure'!E69</f>
        <v>7.1 - Administration Electrical Engineering</v>
      </c>
      <c r="B74" s="915"/>
      <c r="C74" s="746"/>
      <c r="D74" s="745"/>
      <c r="E74" s="745"/>
      <c r="F74" s="745"/>
      <c r="G74" s="745"/>
      <c r="H74" s="745"/>
      <c r="I74" s="745"/>
      <c r="J74" s="75">
        <f t="shared" si="8"/>
        <v>0</v>
      </c>
      <c r="K74" s="75">
        <f t="shared" si="9"/>
        <v>0</v>
      </c>
      <c r="L74" s="745"/>
      <c r="M74" s="747"/>
    </row>
    <row r="75" spans="1:13" ht="13.5" x14ac:dyDescent="0.25">
      <c r="A75" s="760" t="str">
        <f>'Org structure'!E70</f>
        <v>7.2 - Operations &amp; Maintenance: Rural</v>
      </c>
      <c r="B75" s="915"/>
      <c r="C75" s="746">
        <v>383346000</v>
      </c>
      <c r="D75" s="745"/>
      <c r="E75" s="745"/>
      <c r="F75" s="745"/>
      <c r="G75" s="745"/>
      <c r="H75" s="745"/>
      <c r="I75" s="745"/>
      <c r="J75" s="75">
        <f t="shared" si="8"/>
        <v>0</v>
      </c>
      <c r="K75" s="75">
        <f t="shared" si="9"/>
        <v>383346000</v>
      </c>
      <c r="L75" s="745">
        <v>403554250</v>
      </c>
      <c r="M75" s="747">
        <v>421369733.75</v>
      </c>
    </row>
    <row r="76" spans="1:13" ht="13.5" x14ac:dyDescent="0.25">
      <c r="A76" s="760" t="str">
        <f>'Org structure'!E71</f>
        <v>7.3 - Operations &amp; Maintenance: Town</v>
      </c>
      <c r="B76" s="915"/>
      <c r="C76" s="746">
        <v>134001000</v>
      </c>
      <c r="D76" s="745"/>
      <c r="E76" s="745"/>
      <c r="F76" s="745"/>
      <c r="G76" s="745"/>
      <c r="H76" s="745"/>
      <c r="I76" s="745"/>
      <c r="J76" s="75">
        <f t="shared" si="8"/>
        <v>0</v>
      </c>
      <c r="K76" s="75">
        <f t="shared" si="9"/>
        <v>134001000</v>
      </c>
      <c r="L76" s="745">
        <v>141371055</v>
      </c>
      <c r="M76" s="747">
        <v>149146463.02500001</v>
      </c>
    </row>
    <row r="77" spans="1:13" ht="13.5" x14ac:dyDescent="0.25">
      <c r="A77" s="760">
        <f>'Org structure'!E72</f>
        <v>0</v>
      </c>
      <c r="B77" s="915"/>
      <c r="C77" s="746"/>
      <c r="D77" s="745"/>
      <c r="E77" s="745"/>
      <c r="F77" s="745"/>
      <c r="G77" s="745"/>
      <c r="H77" s="745"/>
      <c r="I77" s="745"/>
      <c r="J77" s="75">
        <f t="shared" si="8"/>
        <v>0</v>
      </c>
      <c r="K77" s="75">
        <f t="shared" si="9"/>
        <v>0</v>
      </c>
      <c r="L77" s="745"/>
      <c r="M77" s="747"/>
    </row>
    <row r="78" spans="1:13" ht="13.5" x14ac:dyDescent="0.25">
      <c r="A78" s="760">
        <f>'Org structure'!E73</f>
        <v>0</v>
      </c>
      <c r="B78" s="915"/>
      <c r="C78" s="746"/>
      <c r="D78" s="745"/>
      <c r="E78" s="745"/>
      <c r="F78" s="745"/>
      <c r="G78" s="745"/>
      <c r="H78" s="745"/>
      <c r="I78" s="745"/>
      <c r="J78" s="75">
        <f t="shared" si="8"/>
        <v>0</v>
      </c>
      <c r="K78" s="75">
        <f t="shared" si="9"/>
        <v>0</v>
      </c>
      <c r="L78" s="745"/>
      <c r="M78" s="747"/>
    </row>
    <row r="79" spans="1:13" ht="13.5" x14ac:dyDescent="0.25">
      <c r="A79" s="760">
        <f>'Org structure'!E74</f>
        <v>0</v>
      </c>
      <c r="B79" s="915"/>
      <c r="C79" s="746"/>
      <c r="D79" s="745"/>
      <c r="E79" s="745"/>
      <c r="F79" s="745"/>
      <c r="G79" s="745"/>
      <c r="H79" s="745"/>
      <c r="I79" s="745"/>
      <c r="J79" s="75">
        <f t="shared" si="8"/>
        <v>0</v>
      </c>
      <c r="K79" s="75">
        <f t="shared" si="9"/>
        <v>0</v>
      </c>
      <c r="L79" s="745"/>
      <c r="M79" s="747"/>
    </row>
    <row r="80" spans="1:13" ht="13.5" x14ac:dyDescent="0.25">
      <c r="A80" s="760">
        <f>'Org structure'!E75</f>
        <v>0</v>
      </c>
      <c r="B80" s="915"/>
      <c r="C80" s="746"/>
      <c r="D80" s="745"/>
      <c r="E80" s="745"/>
      <c r="F80" s="745"/>
      <c r="G80" s="745"/>
      <c r="H80" s="745"/>
      <c r="I80" s="745"/>
      <c r="J80" s="75">
        <f t="shared" si="8"/>
        <v>0</v>
      </c>
      <c r="K80" s="75">
        <f t="shared" si="9"/>
        <v>0</v>
      </c>
      <c r="L80" s="745"/>
      <c r="M80" s="747"/>
    </row>
    <row r="81" spans="1:13" ht="13.5" x14ac:dyDescent="0.25">
      <c r="A81" s="760">
        <f>'Org structure'!E76</f>
        <v>0</v>
      </c>
      <c r="B81" s="915"/>
      <c r="C81" s="746"/>
      <c r="D81" s="745"/>
      <c r="E81" s="745"/>
      <c r="F81" s="745"/>
      <c r="G81" s="745"/>
      <c r="H81" s="745"/>
      <c r="I81" s="745"/>
      <c r="J81" s="75">
        <f t="shared" si="8"/>
        <v>0</v>
      </c>
      <c r="K81" s="75">
        <f t="shared" si="9"/>
        <v>0</v>
      </c>
      <c r="L81" s="745"/>
      <c r="M81" s="747"/>
    </row>
    <row r="82" spans="1:13" ht="13.5" x14ac:dyDescent="0.25">
      <c r="A82" s="760">
        <f>'Org structure'!E77</f>
        <v>0</v>
      </c>
      <c r="B82" s="915"/>
      <c r="C82" s="746"/>
      <c r="D82" s="745"/>
      <c r="E82" s="745"/>
      <c r="F82" s="745"/>
      <c r="G82" s="745"/>
      <c r="H82" s="745"/>
      <c r="I82" s="745"/>
      <c r="J82" s="75">
        <f t="shared" si="8"/>
        <v>0</v>
      </c>
      <c r="K82" s="75">
        <f t="shared" si="9"/>
        <v>0</v>
      </c>
      <c r="L82" s="745"/>
      <c r="M82" s="747"/>
    </row>
    <row r="83" spans="1:13" ht="13.5" x14ac:dyDescent="0.25">
      <c r="A83" s="760">
        <f>'Org structure'!E78</f>
        <v>0</v>
      </c>
      <c r="B83" s="915"/>
      <c r="C83" s="746"/>
      <c r="D83" s="745"/>
      <c r="E83" s="745"/>
      <c r="F83" s="745"/>
      <c r="G83" s="745"/>
      <c r="H83" s="745"/>
      <c r="I83" s="745"/>
      <c r="J83" s="75">
        <f t="shared" si="8"/>
        <v>0</v>
      </c>
      <c r="K83" s="75">
        <f t="shared" si="9"/>
        <v>0</v>
      </c>
      <c r="L83" s="745"/>
      <c r="M83" s="747"/>
    </row>
    <row r="84" spans="1:13" ht="13.5" x14ac:dyDescent="0.25">
      <c r="A84" s="757" t="str">
        <f>'Org structure'!A9</f>
        <v>Vote 8 - Engineering Services</v>
      </c>
      <c r="B84" s="915"/>
      <c r="C84" s="744">
        <f>SUM(C85:C94)</f>
        <v>95080325</v>
      </c>
      <c r="D84" s="743">
        <f t="shared" ref="D84:I84" si="11">SUM(D85:D94)</f>
        <v>0</v>
      </c>
      <c r="E84" s="743">
        <f t="shared" si="11"/>
        <v>0</v>
      </c>
      <c r="F84" s="743">
        <f t="shared" si="11"/>
        <v>0</v>
      </c>
      <c r="G84" s="743">
        <f t="shared" si="11"/>
        <v>0</v>
      </c>
      <c r="H84" s="743">
        <f t="shared" si="11"/>
        <v>0</v>
      </c>
      <c r="I84" s="743">
        <f t="shared" si="11"/>
        <v>-500000</v>
      </c>
      <c r="J84" s="75">
        <f t="shared" si="8"/>
        <v>-500000</v>
      </c>
      <c r="K84" s="75">
        <f t="shared" si="9"/>
        <v>94580325</v>
      </c>
      <c r="L84" s="743">
        <f>SUM(L85:L94)</f>
        <v>97180417.875</v>
      </c>
      <c r="M84" s="771">
        <f>SUM(M85:M94)</f>
        <v>102727875.858125</v>
      </c>
    </row>
    <row r="85" spans="1:13" ht="13.5" x14ac:dyDescent="0.25">
      <c r="A85" s="760" t="str">
        <f>'Org structure'!E80</f>
        <v>8.1 - Fleet Management</v>
      </c>
      <c r="B85" s="915"/>
      <c r="C85" s="746"/>
      <c r="D85" s="745"/>
      <c r="E85" s="745"/>
      <c r="F85" s="745"/>
      <c r="G85" s="745"/>
      <c r="H85" s="745"/>
      <c r="I85" s="745"/>
      <c r="J85" s="75">
        <f t="shared" si="8"/>
        <v>0</v>
      </c>
      <c r="K85" s="75">
        <f t="shared" si="9"/>
        <v>0</v>
      </c>
      <c r="L85" s="745"/>
      <c r="M85" s="747"/>
    </row>
    <row r="86" spans="1:13" ht="13.5" x14ac:dyDescent="0.25">
      <c r="A86" s="760" t="str">
        <f>'Org structure'!E81</f>
        <v>8.2 - Administration Civil Engineering</v>
      </c>
      <c r="B86" s="915"/>
      <c r="C86" s="746">
        <v>100</v>
      </c>
      <c r="D86" s="745"/>
      <c r="E86" s="745"/>
      <c r="F86" s="745"/>
      <c r="G86" s="745"/>
      <c r="H86" s="745"/>
      <c r="I86" s="745"/>
      <c r="J86" s="75">
        <f t="shared" si="8"/>
        <v>0</v>
      </c>
      <c r="K86" s="75">
        <f t="shared" si="9"/>
        <v>100</v>
      </c>
      <c r="L86" s="745">
        <v>105.5</v>
      </c>
      <c r="M86" s="747">
        <v>111.30249999999999</v>
      </c>
    </row>
    <row r="87" spans="1:13" ht="13.5" x14ac:dyDescent="0.25">
      <c r="A87" s="760" t="str">
        <f>'Org structure'!E82</f>
        <v>8.3 - Roads &amp; stormwater Management</v>
      </c>
      <c r="B87" s="915"/>
      <c r="C87" s="746">
        <v>500000</v>
      </c>
      <c r="D87" s="745"/>
      <c r="E87" s="745"/>
      <c r="F87" s="745"/>
      <c r="G87" s="745"/>
      <c r="H87" s="745"/>
      <c r="I87" s="745">
        <v>-500000</v>
      </c>
      <c r="J87" s="75">
        <f t="shared" si="8"/>
        <v>-500000</v>
      </c>
      <c r="K87" s="75">
        <f t="shared" si="9"/>
        <v>0</v>
      </c>
      <c r="L87" s="745">
        <v>527500</v>
      </c>
      <c r="M87" s="747">
        <v>556512.5</v>
      </c>
    </row>
    <row r="88" spans="1:13" ht="13.5" x14ac:dyDescent="0.25">
      <c r="A88" s="760" t="str">
        <f>'Org structure'!E83</f>
        <v>8.4 - Water Networks</v>
      </c>
      <c r="B88" s="915"/>
      <c r="C88" s="746"/>
      <c r="D88" s="745"/>
      <c r="E88" s="745"/>
      <c r="F88" s="745"/>
      <c r="G88" s="745"/>
      <c r="H88" s="745"/>
      <c r="I88" s="745"/>
      <c r="J88" s="75">
        <f t="shared" si="8"/>
        <v>0</v>
      </c>
      <c r="K88" s="75">
        <f t="shared" si="9"/>
        <v>0</v>
      </c>
      <c r="L88" s="745"/>
      <c r="M88" s="747"/>
    </row>
    <row r="89" spans="1:13" ht="13.5" x14ac:dyDescent="0.25">
      <c r="A89" s="760" t="str">
        <f>'Org structure'!E84</f>
        <v>8.5 - Water Purification</v>
      </c>
      <c r="B89" s="915"/>
      <c r="C89" s="746"/>
      <c r="D89" s="745"/>
      <c r="E89" s="745"/>
      <c r="F89" s="745"/>
      <c r="G89" s="745"/>
      <c r="H89" s="745"/>
      <c r="I89" s="745"/>
      <c r="J89" s="75">
        <f t="shared" si="8"/>
        <v>0</v>
      </c>
      <c r="K89" s="75">
        <f t="shared" si="9"/>
        <v>0</v>
      </c>
      <c r="L89" s="745"/>
      <c r="M89" s="747"/>
    </row>
    <row r="90" spans="1:13" ht="13.5" x14ac:dyDescent="0.25">
      <c r="A90" s="760" t="str">
        <f>'Org structure'!E85</f>
        <v>8.6 - Building &amp; Housing</v>
      </c>
      <c r="B90" s="915"/>
      <c r="C90" s="746">
        <v>2265225</v>
      </c>
      <c r="D90" s="745"/>
      <c r="E90" s="745"/>
      <c r="F90" s="745"/>
      <c r="G90" s="745"/>
      <c r="H90" s="745"/>
      <c r="I90" s="745"/>
      <c r="J90" s="75">
        <f t="shared" si="8"/>
        <v>0</v>
      </c>
      <c r="K90" s="75">
        <f t="shared" si="9"/>
        <v>2265225</v>
      </c>
      <c r="L90" s="745">
        <v>2389812.375</v>
      </c>
      <c r="M90" s="747">
        <v>2521252.055625</v>
      </c>
    </row>
    <row r="91" spans="1:13" ht="13.5" x14ac:dyDescent="0.25">
      <c r="A91" s="760" t="str">
        <f>'Org structure'!E86</f>
        <v>8.7 - Project Management</v>
      </c>
      <c r="B91" s="915"/>
      <c r="C91" s="746">
        <v>92315000</v>
      </c>
      <c r="D91" s="745"/>
      <c r="E91" s="745"/>
      <c r="F91" s="745"/>
      <c r="G91" s="745"/>
      <c r="H91" s="745"/>
      <c r="I91" s="745"/>
      <c r="J91" s="75">
        <f t="shared" si="8"/>
        <v>0</v>
      </c>
      <c r="K91" s="75">
        <f t="shared" si="9"/>
        <v>92315000</v>
      </c>
      <c r="L91" s="745">
        <v>94263000</v>
      </c>
      <c r="M91" s="747">
        <v>99650000</v>
      </c>
    </row>
    <row r="92" spans="1:13" ht="13.5" x14ac:dyDescent="0.25">
      <c r="A92" s="760" t="str">
        <f>'Org structure'!E87</f>
        <v>8.8 - Sewerage Purification</v>
      </c>
      <c r="B92" s="915"/>
      <c r="C92" s="746"/>
      <c r="D92" s="745"/>
      <c r="E92" s="745"/>
      <c r="F92" s="745"/>
      <c r="G92" s="745"/>
      <c r="H92" s="745"/>
      <c r="I92" s="745"/>
      <c r="J92" s="75">
        <f t="shared" si="8"/>
        <v>0</v>
      </c>
      <c r="K92" s="75">
        <f t="shared" si="9"/>
        <v>0</v>
      </c>
      <c r="L92" s="745"/>
      <c r="M92" s="747"/>
    </row>
    <row r="93" spans="1:13" ht="13.5" x14ac:dyDescent="0.25">
      <c r="A93" s="760">
        <f>'Org structure'!E88</f>
        <v>0</v>
      </c>
      <c r="B93" s="915"/>
      <c r="C93" s="746"/>
      <c r="D93" s="745"/>
      <c r="E93" s="745"/>
      <c r="F93" s="745"/>
      <c r="G93" s="745"/>
      <c r="H93" s="745"/>
      <c r="I93" s="745"/>
      <c r="J93" s="75">
        <f t="shared" si="8"/>
        <v>0</v>
      </c>
      <c r="K93" s="75">
        <f t="shared" si="9"/>
        <v>0</v>
      </c>
      <c r="L93" s="745"/>
      <c r="M93" s="747"/>
    </row>
    <row r="94" spans="1:13" ht="13.5" x14ac:dyDescent="0.25">
      <c r="A94" s="760">
        <f>'Org structure'!E89</f>
        <v>0</v>
      </c>
      <c r="B94" s="915"/>
      <c r="C94" s="746"/>
      <c r="D94" s="745"/>
      <c r="E94" s="745"/>
      <c r="F94" s="745"/>
      <c r="G94" s="745"/>
      <c r="H94" s="745"/>
      <c r="I94" s="745"/>
      <c r="J94" s="75">
        <f t="shared" si="8"/>
        <v>0</v>
      </c>
      <c r="K94" s="75">
        <f t="shared" si="9"/>
        <v>0</v>
      </c>
      <c r="L94" s="745"/>
      <c r="M94" s="747"/>
    </row>
    <row r="95" spans="1:13" ht="13.5" x14ac:dyDescent="0.25">
      <c r="A95" s="757" t="str">
        <f>'Org structure'!A10</f>
        <v>Vote 9 - [NAME OF VOTE 9]</v>
      </c>
      <c r="B95" s="915"/>
      <c r="C95" s="744">
        <f>SUM(C96:C105)</f>
        <v>0</v>
      </c>
      <c r="D95" s="743">
        <f t="shared" ref="D95:I95" si="12">SUM(D96:D105)</f>
        <v>0</v>
      </c>
      <c r="E95" s="743">
        <f t="shared" si="12"/>
        <v>0</v>
      </c>
      <c r="F95" s="743">
        <f t="shared" si="12"/>
        <v>0</v>
      </c>
      <c r="G95" s="743">
        <f t="shared" si="12"/>
        <v>0</v>
      </c>
      <c r="H95" s="743">
        <f t="shared" si="12"/>
        <v>0</v>
      </c>
      <c r="I95" s="743">
        <f t="shared" si="12"/>
        <v>0</v>
      </c>
      <c r="J95" s="75">
        <f t="shared" si="8"/>
        <v>0</v>
      </c>
      <c r="K95" s="75">
        <f t="shared" si="9"/>
        <v>0</v>
      </c>
      <c r="L95" s="743">
        <f>SUM(L96:L105)</f>
        <v>0</v>
      </c>
      <c r="M95" s="771">
        <f>SUM(M96:M105)</f>
        <v>0</v>
      </c>
    </row>
    <row r="96" spans="1:13" ht="13.5" x14ac:dyDescent="0.25">
      <c r="A96" s="760" t="str">
        <f>'Org structure'!E91</f>
        <v>9.1 - [Name of sub-vote]</v>
      </c>
      <c r="B96" s="915"/>
      <c r="C96" s="746"/>
      <c r="D96" s="745"/>
      <c r="E96" s="745"/>
      <c r="F96" s="745"/>
      <c r="G96" s="745"/>
      <c r="H96" s="745"/>
      <c r="I96" s="745"/>
      <c r="J96" s="75">
        <f t="shared" si="8"/>
        <v>0</v>
      </c>
      <c r="K96" s="75">
        <f t="shared" si="9"/>
        <v>0</v>
      </c>
      <c r="L96" s="745"/>
      <c r="M96" s="747"/>
    </row>
    <row r="97" spans="1:13" ht="13.5" x14ac:dyDescent="0.25">
      <c r="A97" s="760">
        <f>'Org structure'!E92</f>
        <v>0</v>
      </c>
      <c r="B97" s="915"/>
      <c r="C97" s="746"/>
      <c r="D97" s="745"/>
      <c r="E97" s="745"/>
      <c r="F97" s="745"/>
      <c r="G97" s="745"/>
      <c r="H97" s="745"/>
      <c r="I97" s="745"/>
      <c r="J97" s="75">
        <f t="shared" si="8"/>
        <v>0</v>
      </c>
      <c r="K97" s="75">
        <f t="shared" si="9"/>
        <v>0</v>
      </c>
      <c r="L97" s="745"/>
      <c r="M97" s="747"/>
    </row>
    <row r="98" spans="1:13" ht="13.5" x14ac:dyDescent="0.25">
      <c r="A98" s="760">
        <f>'Org structure'!E93</f>
        <v>0</v>
      </c>
      <c r="B98" s="915"/>
      <c r="C98" s="746"/>
      <c r="D98" s="745"/>
      <c r="E98" s="745"/>
      <c r="F98" s="745"/>
      <c r="G98" s="745"/>
      <c r="H98" s="745"/>
      <c r="I98" s="745"/>
      <c r="J98" s="75">
        <f t="shared" si="8"/>
        <v>0</v>
      </c>
      <c r="K98" s="75">
        <f t="shared" si="9"/>
        <v>0</v>
      </c>
      <c r="L98" s="745"/>
      <c r="M98" s="747"/>
    </row>
    <row r="99" spans="1:13" ht="13.5" x14ac:dyDescent="0.25">
      <c r="A99" s="760">
        <f>'Org structure'!E94</f>
        <v>0</v>
      </c>
      <c r="B99" s="915"/>
      <c r="C99" s="746"/>
      <c r="D99" s="745"/>
      <c r="E99" s="745"/>
      <c r="F99" s="745"/>
      <c r="G99" s="745"/>
      <c r="H99" s="745"/>
      <c r="I99" s="745"/>
      <c r="J99" s="75">
        <f t="shared" si="8"/>
        <v>0</v>
      </c>
      <c r="K99" s="75">
        <f t="shared" si="9"/>
        <v>0</v>
      </c>
      <c r="L99" s="745"/>
      <c r="M99" s="747"/>
    </row>
    <row r="100" spans="1:13" ht="13.5" x14ac:dyDescent="0.25">
      <c r="A100" s="760">
        <f>'Org structure'!E95</f>
        <v>0</v>
      </c>
      <c r="B100" s="915"/>
      <c r="C100" s="746"/>
      <c r="D100" s="745"/>
      <c r="E100" s="745"/>
      <c r="F100" s="745"/>
      <c r="G100" s="745"/>
      <c r="H100" s="745"/>
      <c r="I100" s="745"/>
      <c r="J100" s="75">
        <f t="shared" si="8"/>
        <v>0</v>
      </c>
      <c r="K100" s="75">
        <f t="shared" si="9"/>
        <v>0</v>
      </c>
      <c r="L100" s="745"/>
      <c r="M100" s="747"/>
    </row>
    <row r="101" spans="1:13" ht="13.5" x14ac:dyDescent="0.25">
      <c r="A101" s="760">
        <f>'Org structure'!E96</f>
        <v>0</v>
      </c>
      <c r="B101" s="915"/>
      <c r="C101" s="746"/>
      <c r="D101" s="745"/>
      <c r="E101" s="745"/>
      <c r="F101" s="745"/>
      <c r="G101" s="745"/>
      <c r="H101" s="745"/>
      <c r="I101" s="745"/>
      <c r="J101" s="75">
        <f t="shared" si="8"/>
        <v>0</v>
      </c>
      <c r="K101" s="75">
        <f t="shared" si="9"/>
        <v>0</v>
      </c>
      <c r="L101" s="745"/>
      <c r="M101" s="747"/>
    </row>
    <row r="102" spans="1:13" ht="13.5" x14ac:dyDescent="0.25">
      <c r="A102" s="760">
        <f>'Org structure'!E97</f>
        <v>0</v>
      </c>
      <c r="B102" s="915"/>
      <c r="C102" s="746"/>
      <c r="D102" s="745"/>
      <c r="E102" s="745"/>
      <c r="F102" s="745"/>
      <c r="G102" s="745"/>
      <c r="H102" s="745"/>
      <c r="I102" s="745"/>
      <c r="J102" s="75">
        <f t="shared" si="8"/>
        <v>0</v>
      </c>
      <c r="K102" s="75">
        <f t="shared" si="9"/>
        <v>0</v>
      </c>
      <c r="L102" s="745"/>
      <c r="M102" s="747"/>
    </row>
    <row r="103" spans="1:13" ht="13.5" x14ac:dyDescent="0.25">
      <c r="A103" s="760">
        <f>'Org structure'!E98</f>
        <v>0</v>
      </c>
      <c r="B103" s="915"/>
      <c r="C103" s="746"/>
      <c r="D103" s="745"/>
      <c r="E103" s="745"/>
      <c r="F103" s="745"/>
      <c r="G103" s="745"/>
      <c r="H103" s="745"/>
      <c r="I103" s="745"/>
      <c r="J103" s="75">
        <f t="shared" si="8"/>
        <v>0</v>
      </c>
      <c r="K103" s="75">
        <f t="shared" si="9"/>
        <v>0</v>
      </c>
      <c r="L103" s="745"/>
      <c r="M103" s="747"/>
    </row>
    <row r="104" spans="1:13" ht="13.5" x14ac:dyDescent="0.25">
      <c r="A104" s="760">
        <f>'Org structure'!E99</f>
        <v>0</v>
      </c>
      <c r="B104" s="915"/>
      <c r="C104" s="746"/>
      <c r="D104" s="745"/>
      <c r="E104" s="745"/>
      <c r="F104" s="745"/>
      <c r="G104" s="745"/>
      <c r="H104" s="745"/>
      <c r="I104" s="745"/>
      <c r="J104" s="75">
        <f t="shared" si="8"/>
        <v>0</v>
      </c>
      <c r="K104" s="75">
        <f t="shared" si="9"/>
        <v>0</v>
      </c>
      <c r="L104" s="745"/>
      <c r="M104" s="747"/>
    </row>
    <row r="105" spans="1:13" ht="13.5" x14ac:dyDescent="0.25">
      <c r="A105" s="760">
        <f>'Org structure'!E100</f>
        <v>0</v>
      </c>
      <c r="B105" s="915"/>
      <c r="C105" s="746"/>
      <c r="D105" s="745"/>
      <c r="E105" s="745"/>
      <c r="F105" s="745"/>
      <c r="G105" s="745"/>
      <c r="H105" s="745"/>
      <c r="I105" s="745"/>
      <c r="J105" s="75">
        <f t="shared" si="8"/>
        <v>0</v>
      </c>
      <c r="K105" s="75">
        <f t="shared" si="9"/>
        <v>0</v>
      </c>
      <c r="L105" s="745"/>
      <c r="M105" s="747"/>
    </row>
    <row r="106" spans="1:13" ht="13.5" x14ac:dyDescent="0.25">
      <c r="A106" s="757" t="str">
        <f>'Org structure'!A11</f>
        <v>Vote 10 - [NAME OF VOTE 10]</v>
      </c>
      <c r="B106" s="915"/>
      <c r="C106" s="744">
        <f>SUM(C107:C116)</f>
        <v>0</v>
      </c>
      <c r="D106" s="743">
        <f t="shared" ref="D106:I106" si="13">SUM(D107:D116)</f>
        <v>0</v>
      </c>
      <c r="E106" s="743">
        <f t="shared" si="13"/>
        <v>0</v>
      </c>
      <c r="F106" s="743">
        <f t="shared" si="13"/>
        <v>0</v>
      </c>
      <c r="G106" s="743">
        <f t="shared" si="13"/>
        <v>0</v>
      </c>
      <c r="H106" s="743">
        <f t="shared" si="13"/>
        <v>0</v>
      </c>
      <c r="I106" s="743">
        <f t="shared" si="13"/>
        <v>0</v>
      </c>
      <c r="J106" s="75">
        <f t="shared" si="8"/>
        <v>0</v>
      </c>
      <c r="K106" s="75">
        <f t="shared" si="9"/>
        <v>0</v>
      </c>
      <c r="L106" s="743">
        <f>SUM(L107:L116)</f>
        <v>0</v>
      </c>
      <c r="M106" s="771">
        <f>SUM(M107:M116)</f>
        <v>0</v>
      </c>
    </row>
    <row r="107" spans="1:13" ht="13.5" x14ac:dyDescent="0.25">
      <c r="A107" s="760" t="str">
        <f>'Org structure'!E102</f>
        <v>10.1 - [Name of sub-vote]</v>
      </c>
      <c r="B107" s="915"/>
      <c r="C107" s="746"/>
      <c r="D107" s="745"/>
      <c r="E107" s="745"/>
      <c r="F107" s="745"/>
      <c r="G107" s="745"/>
      <c r="H107" s="745"/>
      <c r="I107" s="745"/>
      <c r="J107" s="75">
        <f t="shared" si="8"/>
        <v>0</v>
      </c>
      <c r="K107" s="75">
        <f t="shared" si="9"/>
        <v>0</v>
      </c>
      <c r="L107" s="745"/>
      <c r="M107" s="747"/>
    </row>
    <row r="108" spans="1:13" ht="13.5" x14ac:dyDescent="0.25">
      <c r="A108" s="760">
        <f>'Org structure'!E103</f>
        <v>0</v>
      </c>
      <c r="B108" s="915"/>
      <c r="C108" s="746"/>
      <c r="D108" s="745"/>
      <c r="E108" s="745"/>
      <c r="F108" s="745"/>
      <c r="G108" s="745"/>
      <c r="H108" s="745"/>
      <c r="I108" s="745"/>
      <c r="J108" s="75">
        <f t="shared" si="8"/>
        <v>0</v>
      </c>
      <c r="K108" s="75">
        <f t="shared" si="9"/>
        <v>0</v>
      </c>
      <c r="L108" s="745"/>
      <c r="M108" s="747"/>
    </row>
    <row r="109" spans="1:13" ht="13.5" x14ac:dyDescent="0.25">
      <c r="A109" s="760">
        <f>'Org structure'!E104</f>
        <v>0</v>
      </c>
      <c r="B109" s="915"/>
      <c r="C109" s="746"/>
      <c r="D109" s="745"/>
      <c r="E109" s="745"/>
      <c r="F109" s="745"/>
      <c r="G109" s="745"/>
      <c r="H109" s="745"/>
      <c r="I109" s="745"/>
      <c r="J109" s="75">
        <f t="shared" si="8"/>
        <v>0</v>
      </c>
      <c r="K109" s="75">
        <f t="shared" si="9"/>
        <v>0</v>
      </c>
      <c r="L109" s="745"/>
      <c r="M109" s="747"/>
    </row>
    <row r="110" spans="1:13" ht="13.5" x14ac:dyDescent="0.25">
      <c r="A110" s="760">
        <f>'Org structure'!E105</f>
        <v>0</v>
      </c>
      <c r="B110" s="915"/>
      <c r="C110" s="746"/>
      <c r="D110" s="745"/>
      <c r="E110" s="745"/>
      <c r="F110" s="745"/>
      <c r="G110" s="745"/>
      <c r="H110" s="745"/>
      <c r="I110" s="745"/>
      <c r="J110" s="75">
        <f t="shared" si="8"/>
        <v>0</v>
      </c>
      <c r="K110" s="75">
        <f t="shared" si="9"/>
        <v>0</v>
      </c>
      <c r="L110" s="745"/>
      <c r="M110" s="747"/>
    </row>
    <row r="111" spans="1:13" ht="13.5" x14ac:dyDescent="0.25">
      <c r="A111" s="760">
        <f>'Org structure'!E106</f>
        <v>0</v>
      </c>
      <c r="B111" s="915"/>
      <c r="C111" s="746"/>
      <c r="D111" s="745"/>
      <c r="E111" s="745"/>
      <c r="F111" s="745"/>
      <c r="G111" s="745"/>
      <c r="H111" s="745"/>
      <c r="I111" s="745"/>
      <c r="J111" s="75">
        <f t="shared" si="8"/>
        <v>0</v>
      </c>
      <c r="K111" s="75">
        <f t="shared" si="9"/>
        <v>0</v>
      </c>
      <c r="L111" s="745"/>
      <c r="M111" s="747"/>
    </row>
    <row r="112" spans="1:13" ht="13.5" x14ac:dyDescent="0.25">
      <c r="A112" s="760">
        <f>'Org structure'!E107</f>
        <v>0</v>
      </c>
      <c r="B112" s="915"/>
      <c r="C112" s="746"/>
      <c r="D112" s="745"/>
      <c r="E112" s="745"/>
      <c r="F112" s="745"/>
      <c r="G112" s="745"/>
      <c r="H112" s="745"/>
      <c r="I112" s="745"/>
      <c r="J112" s="75">
        <f t="shared" si="8"/>
        <v>0</v>
      </c>
      <c r="K112" s="75">
        <f t="shared" si="9"/>
        <v>0</v>
      </c>
      <c r="L112" s="745"/>
      <c r="M112" s="747"/>
    </row>
    <row r="113" spans="1:13" ht="13.5" x14ac:dyDescent="0.25">
      <c r="A113" s="760">
        <f>'Org structure'!E108</f>
        <v>0</v>
      </c>
      <c r="B113" s="915"/>
      <c r="C113" s="746"/>
      <c r="D113" s="745"/>
      <c r="E113" s="745"/>
      <c r="F113" s="745"/>
      <c r="G113" s="745"/>
      <c r="H113" s="745"/>
      <c r="I113" s="745"/>
      <c r="J113" s="75">
        <f t="shared" si="8"/>
        <v>0</v>
      </c>
      <c r="K113" s="75">
        <f t="shared" si="9"/>
        <v>0</v>
      </c>
      <c r="L113" s="745"/>
      <c r="M113" s="747"/>
    </row>
    <row r="114" spans="1:13" ht="13.5" x14ac:dyDescent="0.25">
      <c r="A114" s="760">
        <f>'Org structure'!E109</f>
        <v>0</v>
      </c>
      <c r="B114" s="915"/>
      <c r="C114" s="746"/>
      <c r="D114" s="745"/>
      <c r="E114" s="745"/>
      <c r="F114" s="745"/>
      <c r="G114" s="745"/>
      <c r="H114" s="745"/>
      <c r="I114" s="745"/>
      <c r="J114" s="75">
        <f t="shared" si="8"/>
        <v>0</v>
      </c>
      <c r="K114" s="75">
        <f t="shared" si="9"/>
        <v>0</v>
      </c>
      <c r="L114" s="745"/>
      <c r="M114" s="747"/>
    </row>
    <row r="115" spans="1:13" ht="13.5" x14ac:dyDescent="0.25">
      <c r="A115" s="760">
        <f>'Org structure'!E110</f>
        <v>0</v>
      </c>
      <c r="B115" s="915"/>
      <c r="C115" s="746"/>
      <c r="D115" s="745"/>
      <c r="E115" s="745"/>
      <c r="F115" s="745"/>
      <c r="G115" s="745"/>
      <c r="H115" s="745"/>
      <c r="I115" s="745"/>
      <c r="J115" s="75">
        <f t="shared" si="8"/>
        <v>0</v>
      </c>
      <c r="K115" s="75">
        <f t="shared" si="9"/>
        <v>0</v>
      </c>
      <c r="L115" s="745"/>
      <c r="M115" s="747"/>
    </row>
    <row r="116" spans="1:13" ht="13.5" x14ac:dyDescent="0.25">
      <c r="A116" s="760">
        <f>'Org structure'!E111</f>
        <v>0</v>
      </c>
      <c r="B116" s="915"/>
      <c r="C116" s="746"/>
      <c r="D116" s="745"/>
      <c r="E116" s="745"/>
      <c r="F116" s="745"/>
      <c r="G116" s="745"/>
      <c r="H116" s="745"/>
      <c r="I116" s="745"/>
      <c r="J116" s="75">
        <f t="shared" si="8"/>
        <v>0</v>
      </c>
      <c r="K116" s="75">
        <f t="shared" si="9"/>
        <v>0</v>
      </c>
      <c r="L116" s="745"/>
      <c r="M116" s="747"/>
    </row>
    <row r="117" spans="1:13" ht="13.5" x14ac:dyDescent="0.25">
      <c r="A117" s="757" t="str">
        <f>'Org structure'!A12</f>
        <v>Vote 11 - [NAME OF VOTE 11]</v>
      </c>
      <c r="B117" s="915"/>
      <c r="C117" s="744">
        <f>SUM(C118:C127)</f>
        <v>0</v>
      </c>
      <c r="D117" s="743">
        <f t="shared" ref="D117:I117" si="14">SUM(D118:D127)</f>
        <v>0</v>
      </c>
      <c r="E117" s="743">
        <f t="shared" si="14"/>
        <v>0</v>
      </c>
      <c r="F117" s="743">
        <f t="shared" si="14"/>
        <v>0</v>
      </c>
      <c r="G117" s="743">
        <f t="shared" si="14"/>
        <v>0</v>
      </c>
      <c r="H117" s="743">
        <f t="shared" si="14"/>
        <v>0</v>
      </c>
      <c r="I117" s="743">
        <f t="shared" si="14"/>
        <v>0</v>
      </c>
      <c r="J117" s="75">
        <f t="shared" si="8"/>
        <v>0</v>
      </c>
      <c r="K117" s="75">
        <f t="shared" si="9"/>
        <v>0</v>
      </c>
      <c r="L117" s="743">
        <f>SUM(L118:L127)</f>
        <v>0</v>
      </c>
      <c r="M117" s="771">
        <f>SUM(M118:M127)</f>
        <v>0</v>
      </c>
    </row>
    <row r="118" spans="1:13" ht="13.5" x14ac:dyDescent="0.25">
      <c r="A118" s="760" t="str">
        <f>'Org structure'!E113</f>
        <v>11.1 - [Name of sub-vote]</v>
      </c>
      <c r="B118" s="915"/>
      <c r="C118" s="746"/>
      <c r="D118" s="745"/>
      <c r="E118" s="745"/>
      <c r="F118" s="745"/>
      <c r="G118" s="745"/>
      <c r="H118" s="745"/>
      <c r="I118" s="745"/>
      <c r="J118" s="75">
        <f t="shared" si="8"/>
        <v>0</v>
      </c>
      <c r="K118" s="75">
        <f t="shared" si="9"/>
        <v>0</v>
      </c>
      <c r="L118" s="745"/>
      <c r="M118" s="747"/>
    </row>
    <row r="119" spans="1:13" ht="13.5" x14ac:dyDescent="0.25">
      <c r="A119" s="760">
        <f>'Org structure'!E114</f>
        <v>0</v>
      </c>
      <c r="B119" s="915"/>
      <c r="C119" s="746"/>
      <c r="D119" s="745"/>
      <c r="E119" s="745"/>
      <c r="F119" s="745"/>
      <c r="G119" s="745"/>
      <c r="H119" s="745"/>
      <c r="I119" s="745"/>
      <c r="J119" s="75">
        <f t="shared" si="8"/>
        <v>0</v>
      </c>
      <c r="K119" s="75">
        <f t="shared" si="9"/>
        <v>0</v>
      </c>
      <c r="L119" s="745"/>
      <c r="M119" s="747"/>
    </row>
    <row r="120" spans="1:13" ht="13.5" x14ac:dyDescent="0.25">
      <c r="A120" s="760">
        <f>'Org structure'!E115</f>
        <v>0</v>
      </c>
      <c r="B120" s="915"/>
      <c r="C120" s="746"/>
      <c r="D120" s="745"/>
      <c r="E120" s="745"/>
      <c r="F120" s="745"/>
      <c r="G120" s="745"/>
      <c r="H120" s="745"/>
      <c r="I120" s="745"/>
      <c r="J120" s="75">
        <f t="shared" si="8"/>
        <v>0</v>
      </c>
      <c r="K120" s="75">
        <f t="shared" si="9"/>
        <v>0</v>
      </c>
      <c r="L120" s="745"/>
      <c r="M120" s="747"/>
    </row>
    <row r="121" spans="1:13" ht="13.5" x14ac:dyDescent="0.25">
      <c r="A121" s="760">
        <f>'Org structure'!E116</f>
        <v>0</v>
      </c>
      <c r="B121" s="915"/>
      <c r="C121" s="746"/>
      <c r="D121" s="745"/>
      <c r="E121" s="745"/>
      <c r="F121" s="745"/>
      <c r="G121" s="745"/>
      <c r="H121" s="745"/>
      <c r="I121" s="745"/>
      <c r="J121" s="75">
        <f t="shared" si="8"/>
        <v>0</v>
      </c>
      <c r="K121" s="75">
        <f t="shared" si="9"/>
        <v>0</v>
      </c>
      <c r="L121" s="745"/>
      <c r="M121" s="747"/>
    </row>
    <row r="122" spans="1:13" ht="13.5" x14ac:dyDescent="0.25">
      <c r="A122" s="760">
        <f>'Org structure'!E117</f>
        <v>0</v>
      </c>
      <c r="B122" s="915"/>
      <c r="C122" s="746"/>
      <c r="D122" s="745"/>
      <c r="E122" s="745"/>
      <c r="F122" s="745"/>
      <c r="G122" s="745"/>
      <c r="H122" s="745"/>
      <c r="I122" s="745"/>
      <c r="J122" s="75">
        <f t="shared" si="8"/>
        <v>0</v>
      </c>
      <c r="K122" s="75">
        <f t="shared" si="9"/>
        <v>0</v>
      </c>
      <c r="L122" s="745"/>
      <c r="M122" s="747"/>
    </row>
    <row r="123" spans="1:13" ht="13.5" x14ac:dyDescent="0.25">
      <c r="A123" s="760">
        <f>'Org structure'!E118</f>
        <v>0</v>
      </c>
      <c r="B123" s="915"/>
      <c r="C123" s="746"/>
      <c r="D123" s="745"/>
      <c r="E123" s="745"/>
      <c r="F123" s="745"/>
      <c r="G123" s="745"/>
      <c r="H123" s="745"/>
      <c r="I123" s="745"/>
      <c r="J123" s="75">
        <f t="shared" si="8"/>
        <v>0</v>
      </c>
      <c r="K123" s="75">
        <f t="shared" si="9"/>
        <v>0</v>
      </c>
      <c r="L123" s="745"/>
      <c r="M123" s="747"/>
    </row>
    <row r="124" spans="1:13" ht="13.5" x14ac:dyDescent="0.25">
      <c r="A124" s="760">
        <f>'Org structure'!E119</f>
        <v>0</v>
      </c>
      <c r="B124" s="915"/>
      <c r="C124" s="746"/>
      <c r="D124" s="745"/>
      <c r="E124" s="745"/>
      <c r="F124" s="745"/>
      <c r="G124" s="745"/>
      <c r="H124" s="745"/>
      <c r="I124" s="745"/>
      <c r="J124" s="75">
        <f t="shared" si="8"/>
        <v>0</v>
      </c>
      <c r="K124" s="75">
        <f t="shared" si="9"/>
        <v>0</v>
      </c>
      <c r="L124" s="745"/>
      <c r="M124" s="747"/>
    </row>
    <row r="125" spans="1:13" ht="13.5" x14ac:dyDescent="0.25">
      <c r="A125" s="760">
        <f>'Org structure'!E120</f>
        <v>0</v>
      </c>
      <c r="B125" s="915"/>
      <c r="C125" s="746"/>
      <c r="D125" s="745"/>
      <c r="E125" s="745"/>
      <c r="F125" s="745"/>
      <c r="G125" s="745"/>
      <c r="H125" s="745"/>
      <c r="I125" s="745"/>
      <c r="J125" s="75">
        <f t="shared" si="8"/>
        <v>0</v>
      </c>
      <c r="K125" s="75">
        <f t="shared" si="9"/>
        <v>0</v>
      </c>
      <c r="L125" s="745"/>
      <c r="M125" s="747"/>
    </row>
    <row r="126" spans="1:13" ht="13.5" x14ac:dyDescent="0.25">
      <c r="A126" s="760">
        <f>'Org structure'!E121</f>
        <v>0</v>
      </c>
      <c r="B126" s="915"/>
      <c r="C126" s="746"/>
      <c r="D126" s="745"/>
      <c r="E126" s="745"/>
      <c r="F126" s="745"/>
      <c r="G126" s="745"/>
      <c r="H126" s="745"/>
      <c r="I126" s="745"/>
      <c r="J126" s="75">
        <f t="shared" si="8"/>
        <v>0</v>
      </c>
      <c r="K126" s="75">
        <f t="shared" si="9"/>
        <v>0</v>
      </c>
      <c r="L126" s="745"/>
      <c r="M126" s="747"/>
    </row>
    <row r="127" spans="1:13" ht="13.5" x14ac:dyDescent="0.25">
      <c r="A127" s="760">
        <f>'Org structure'!E122</f>
        <v>0</v>
      </c>
      <c r="B127" s="915"/>
      <c r="C127" s="746"/>
      <c r="D127" s="745"/>
      <c r="E127" s="745"/>
      <c r="F127" s="745"/>
      <c r="G127" s="745"/>
      <c r="H127" s="745"/>
      <c r="I127" s="745"/>
      <c r="J127" s="75">
        <f t="shared" si="8"/>
        <v>0</v>
      </c>
      <c r="K127" s="75">
        <f t="shared" si="9"/>
        <v>0</v>
      </c>
      <c r="L127" s="745"/>
      <c r="M127" s="747"/>
    </row>
    <row r="128" spans="1:13" ht="13.5" x14ac:dyDescent="0.25">
      <c r="A128" s="757" t="str">
        <f>'Org structure'!A13</f>
        <v>Vote 12 - [NAME OF VOTE 12]</v>
      </c>
      <c r="B128" s="915"/>
      <c r="C128" s="744">
        <f>SUM(C129:C138)</f>
        <v>0</v>
      </c>
      <c r="D128" s="743">
        <f t="shared" ref="D128:I128" si="15">SUM(D129:D138)</f>
        <v>0</v>
      </c>
      <c r="E128" s="743">
        <f t="shared" si="15"/>
        <v>0</v>
      </c>
      <c r="F128" s="743">
        <f t="shared" si="15"/>
        <v>0</v>
      </c>
      <c r="G128" s="743">
        <f t="shared" si="15"/>
        <v>0</v>
      </c>
      <c r="H128" s="743">
        <f t="shared" si="15"/>
        <v>0</v>
      </c>
      <c r="I128" s="743">
        <f t="shared" si="15"/>
        <v>0</v>
      </c>
      <c r="J128" s="75">
        <f t="shared" si="8"/>
        <v>0</v>
      </c>
      <c r="K128" s="75">
        <f t="shared" si="9"/>
        <v>0</v>
      </c>
      <c r="L128" s="743">
        <f>SUM(L129:L138)</f>
        <v>0</v>
      </c>
      <c r="M128" s="771">
        <f>SUM(M129:M138)</f>
        <v>0</v>
      </c>
    </row>
    <row r="129" spans="1:13" ht="13.5" x14ac:dyDescent="0.25">
      <c r="A129" s="760" t="str">
        <f>'Org structure'!E124</f>
        <v>12.1 - [Name of sub-vote]</v>
      </c>
      <c r="B129" s="915"/>
      <c r="C129" s="746"/>
      <c r="D129" s="745"/>
      <c r="E129" s="745"/>
      <c r="F129" s="745"/>
      <c r="G129" s="745"/>
      <c r="H129" s="745"/>
      <c r="I129" s="745"/>
      <c r="J129" s="75">
        <f t="shared" si="8"/>
        <v>0</v>
      </c>
      <c r="K129" s="75">
        <f t="shared" si="9"/>
        <v>0</v>
      </c>
      <c r="L129" s="745"/>
      <c r="M129" s="747"/>
    </row>
    <row r="130" spans="1:13" ht="13.5" x14ac:dyDescent="0.25">
      <c r="A130" s="760">
        <f>'Org structure'!E125</f>
        <v>0</v>
      </c>
      <c r="B130" s="915"/>
      <c r="C130" s="746"/>
      <c r="D130" s="745"/>
      <c r="E130" s="745"/>
      <c r="F130" s="745"/>
      <c r="G130" s="745"/>
      <c r="H130" s="745"/>
      <c r="I130" s="745"/>
      <c r="J130" s="75">
        <f t="shared" si="8"/>
        <v>0</v>
      </c>
      <c r="K130" s="75">
        <f t="shared" si="9"/>
        <v>0</v>
      </c>
      <c r="L130" s="745"/>
      <c r="M130" s="747"/>
    </row>
    <row r="131" spans="1:13" ht="13.5" x14ac:dyDescent="0.25">
      <c r="A131" s="760">
        <f>'Org structure'!E126</f>
        <v>0</v>
      </c>
      <c r="B131" s="915"/>
      <c r="C131" s="746"/>
      <c r="D131" s="745"/>
      <c r="E131" s="745"/>
      <c r="F131" s="745"/>
      <c r="G131" s="745"/>
      <c r="H131" s="745"/>
      <c r="I131" s="745"/>
      <c r="J131" s="75">
        <f t="shared" si="8"/>
        <v>0</v>
      </c>
      <c r="K131" s="75">
        <f t="shared" si="9"/>
        <v>0</v>
      </c>
      <c r="L131" s="745"/>
      <c r="M131" s="747"/>
    </row>
    <row r="132" spans="1:13" ht="13.5" x14ac:dyDescent="0.25">
      <c r="A132" s="760">
        <f>'Org structure'!E127</f>
        <v>0</v>
      </c>
      <c r="B132" s="915"/>
      <c r="C132" s="746"/>
      <c r="D132" s="745"/>
      <c r="E132" s="745"/>
      <c r="F132" s="745"/>
      <c r="G132" s="745"/>
      <c r="H132" s="745"/>
      <c r="I132" s="745"/>
      <c r="J132" s="75">
        <f t="shared" si="8"/>
        <v>0</v>
      </c>
      <c r="K132" s="75">
        <f t="shared" si="9"/>
        <v>0</v>
      </c>
      <c r="L132" s="745"/>
      <c r="M132" s="747"/>
    </row>
    <row r="133" spans="1:13" ht="13.5" x14ac:dyDescent="0.25">
      <c r="A133" s="760">
        <f>'Org structure'!E128</f>
        <v>0</v>
      </c>
      <c r="B133" s="915"/>
      <c r="C133" s="746"/>
      <c r="D133" s="745"/>
      <c r="E133" s="745"/>
      <c r="F133" s="745"/>
      <c r="G133" s="745"/>
      <c r="H133" s="745"/>
      <c r="I133" s="745"/>
      <c r="J133" s="75">
        <f t="shared" si="8"/>
        <v>0</v>
      </c>
      <c r="K133" s="75">
        <f t="shared" si="9"/>
        <v>0</v>
      </c>
      <c r="L133" s="745"/>
      <c r="M133" s="747"/>
    </row>
    <row r="134" spans="1:13" ht="13.5" x14ac:dyDescent="0.25">
      <c r="A134" s="760">
        <f>'Org structure'!E129</f>
        <v>0</v>
      </c>
      <c r="B134" s="915"/>
      <c r="C134" s="746"/>
      <c r="D134" s="745"/>
      <c r="E134" s="745"/>
      <c r="F134" s="745"/>
      <c r="G134" s="745"/>
      <c r="H134" s="745"/>
      <c r="I134" s="745"/>
      <c r="J134" s="75">
        <f t="shared" si="8"/>
        <v>0</v>
      </c>
      <c r="K134" s="75">
        <f t="shared" si="9"/>
        <v>0</v>
      </c>
      <c r="L134" s="745"/>
      <c r="M134" s="747"/>
    </row>
    <row r="135" spans="1:13" ht="13.5" x14ac:dyDescent="0.25">
      <c r="A135" s="760">
        <f>'Org structure'!E130</f>
        <v>0</v>
      </c>
      <c r="B135" s="915"/>
      <c r="C135" s="746"/>
      <c r="D135" s="745"/>
      <c r="E135" s="745"/>
      <c r="F135" s="745"/>
      <c r="G135" s="745"/>
      <c r="H135" s="745"/>
      <c r="I135" s="745"/>
      <c r="J135" s="75">
        <f t="shared" si="8"/>
        <v>0</v>
      </c>
      <c r="K135" s="75">
        <f t="shared" si="9"/>
        <v>0</v>
      </c>
      <c r="L135" s="745"/>
      <c r="M135" s="747"/>
    </row>
    <row r="136" spans="1:13" ht="13.5" x14ac:dyDescent="0.25">
      <c r="A136" s="760">
        <f>'Org structure'!E131</f>
        <v>0</v>
      </c>
      <c r="B136" s="915"/>
      <c r="C136" s="746"/>
      <c r="D136" s="745"/>
      <c r="E136" s="745"/>
      <c r="F136" s="745"/>
      <c r="G136" s="745"/>
      <c r="H136" s="745"/>
      <c r="I136" s="745"/>
      <c r="J136" s="75">
        <f t="shared" ref="J136:J171" si="16">SUM(E136:I136)</f>
        <v>0</v>
      </c>
      <c r="K136" s="75">
        <f t="shared" ref="K136:K171" si="17">IF(D136=0,C136+J136,D136+J136)</f>
        <v>0</v>
      </c>
      <c r="L136" s="745"/>
      <c r="M136" s="747"/>
    </row>
    <row r="137" spans="1:13" ht="13.5" x14ac:dyDescent="0.25">
      <c r="A137" s="760">
        <f>'Org structure'!E132</f>
        <v>0</v>
      </c>
      <c r="B137" s="915"/>
      <c r="C137" s="746"/>
      <c r="D137" s="745"/>
      <c r="E137" s="745"/>
      <c r="F137" s="745"/>
      <c r="G137" s="745"/>
      <c r="H137" s="745"/>
      <c r="I137" s="745"/>
      <c r="J137" s="75">
        <f t="shared" si="16"/>
        <v>0</v>
      </c>
      <c r="K137" s="75">
        <f t="shared" si="17"/>
        <v>0</v>
      </c>
      <c r="L137" s="745"/>
      <c r="M137" s="747"/>
    </row>
    <row r="138" spans="1:13" ht="13.5" x14ac:dyDescent="0.25">
      <c r="A138" s="760">
        <f>'Org structure'!E133</f>
        <v>0</v>
      </c>
      <c r="B138" s="915"/>
      <c r="C138" s="746"/>
      <c r="D138" s="745"/>
      <c r="E138" s="745"/>
      <c r="F138" s="745"/>
      <c r="G138" s="745"/>
      <c r="H138" s="745"/>
      <c r="I138" s="745"/>
      <c r="J138" s="75">
        <f t="shared" si="16"/>
        <v>0</v>
      </c>
      <c r="K138" s="75">
        <f t="shared" si="17"/>
        <v>0</v>
      </c>
      <c r="L138" s="745"/>
      <c r="M138" s="747"/>
    </row>
    <row r="139" spans="1:13" ht="13.5" x14ac:dyDescent="0.25">
      <c r="A139" s="757" t="str">
        <f>'Org structure'!A14</f>
        <v>Vote 13 - [NAME OF VOTE 13]</v>
      </c>
      <c r="B139" s="915"/>
      <c r="C139" s="744">
        <f>SUM(C140:C149)</f>
        <v>0</v>
      </c>
      <c r="D139" s="743">
        <f t="shared" ref="D139:I139" si="18">SUM(D140:D149)</f>
        <v>0</v>
      </c>
      <c r="E139" s="743">
        <f t="shared" si="18"/>
        <v>0</v>
      </c>
      <c r="F139" s="743">
        <f t="shared" si="18"/>
        <v>0</v>
      </c>
      <c r="G139" s="743">
        <f t="shared" si="18"/>
        <v>0</v>
      </c>
      <c r="H139" s="743">
        <f t="shared" si="18"/>
        <v>0</v>
      </c>
      <c r="I139" s="743">
        <f t="shared" si="18"/>
        <v>0</v>
      </c>
      <c r="J139" s="75">
        <f t="shared" si="16"/>
        <v>0</v>
      </c>
      <c r="K139" s="75">
        <f t="shared" si="17"/>
        <v>0</v>
      </c>
      <c r="L139" s="743">
        <f>SUM(L140:L149)</f>
        <v>0</v>
      </c>
      <c r="M139" s="771">
        <f>SUM(M140:M149)</f>
        <v>0</v>
      </c>
    </row>
    <row r="140" spans="1:13" ht="13.5" x14ac:dyDescent="0.25">
      <c r="A140" s="760" t="str">
        <f>'Org structure'!E135</f>
        <v>13.1 - [Name of sub-vote]</v>
      </c>
      <c r="B140" s="915"/>
      <c r="C140" s="746"/>
      <c r="D140" s="745"/>
      <c r="E140" s="745"/>
      <c r="F140" s="745"/>
      <c r="G140" s="745"/>
      <c r="H140" s="745"/>
      <c r="I140" s="745"/>
      <c r="J140" s="75">
        <f t="shared" si="16"/>
        <v>0</v>
      </c>
      <c r="K140" s="75">
        <f t="shared" si="17"/>
        <v>0</v>
      </c>
      <c r="L140" s="745"/>
      <c r="M140" s="747"/>
    </row>
    <row r="141" spans="1:13" ht="13.5" x14ac:dyDescent="0.25">
      <c r="A141" s="760">
        <f>'Org structure'!E136</f>
        <v>0</v>
      </c>
      <c r="B141" s="915"/>
      <c r="C141" s="746"/>
      <c r="D141" s="745"/>
      <c r="E141" s="745"/>
      <c r="F141" s="745"/>
      <c r="G141" s="745"/>
      <c r="H141" s="745"/>
      <c r="I141" s="745"/>
      <c r="J141" s="75">
        <f t="shared" si="16"/>
        <v>0</v>
      </c>
      <c r="K141" s="75">
        <f t="shared" si="17"/>
        <v>0</v>
      </c>
      <c r="L141" s="745"/>
      <c r="M141" s="747"/>
    </row>
    <row r="142" spans="1:13" ht="13.5" x14ac:dyDescent="0.25">
      <c r="A142" s="760">
        <f>'Org structure'!E137</f>
        <v>0</v>
      </c>
      <c r="B142" s="915"/>
      <c r="C142" s="746"/>
      <c r="D142" s="745"/>
      <c r="E142" s="745"/>
      <c r="F142" s="745"/>
      <c r="G142" s="745"/>
      <c r="H142" s="745"/>
      <c r="I142" s="745"/>
      <c r="J142" s="75">
        <f t="shared" si="16"/>
        <v>0</v>
      </c>
      <c r="K142" s="75">
        <f t="shared" si="17"/>
        <v>0</v>
      </c>
      <c r="L142" s="745"/>
      <c r="M142" s="747"/>
    </row>
    <row r="143" spans="1:13" ht="13.5" x14ac:dyDescent="0.25">
      <c r="A143" s="760">
        <f>'Org structure'!E138</f>
        <v>0</v>
      </c>
      <c r="B143" s="915"/>
      <c r="C143" s="746"/>
      <c r="D143" s="745"/>
      <c r="E143" s="745"/>
      <c r="F143" s="745"/>
      <c r="G143" s="745"/>
      <c r="H143" s="745"/>
      <c r="I143" s="745"/>
      <c r="J143" s="75">
        <f t="shared" si="16"/>
        <v>0</v>
      </c>
      <c r="K143" s="75">
        <f t="shared" si="17"/>
        <v>0</v>
      </c>
      <c r="L143" s="745"/>
      <c r="M143" s="747"/>
    </row>
    <row r="144" spans="1:13" ht="13.5" x14ac:dyDescent="0.25">
      <c r="A144" s="760">
        <f>'Org structure'!E139</f>
        <v>0</v>
      </c>
      <c r="B144" s="915"/>
      <c r="C144" s="746"/>
      <c r="D144" s="745"/>
      <c r="E144" s="745"/>
      <c r="F144" s="745"/>
      <c r="G144" s="745"/>
      <c r="H144" s="745"/>
      <c r="I144" s="745"/>
      <c r="J144" s="75">
        <f t="shared" si="16"/>
        <v>0</v>
      </c>
      <c r="K144" s="75">
        <f t="shared" si="17"/>
        <v>0</v>
      </c>
      <c r="L144" s="745"/>
      <c r="M144" s="747"/>
    </row>
    <row r="145" spans="1:13" ht="13.5" x14ac:dyDescent="0.25">
      <c r="A145" s="760">
        <f>'Org structure'!E140</f>
        <v>0</v>
      </c>
      <c r="B145" s="915"/>
      <c r="C145" s="746"/>
      <c r="D145" s="745"/>
      <c r="E145" s="745"/>
      <c r="F145" s="745"/>
      <c r="G145" s="745"/>
      <c r="H145" s="745"/>
      <c r="I145" s="745"/>
      <c r="J145" s="75">
        <f t="shared" si="16"/>
        <v>0</v>
      </c>
      <c r="K145" s="75">
        <f t="shared" si="17"/>
        <v>0</v>
      </c>
      <c r="L145" s="745"/>
      <c r="M145" s="747"/>
    </row>
    <row r="146" spans="1:13" ht="13.5" x14ac:dyDescent="0.25">
      <c r="A146" s="760">
        <f>'Org structure'!E141</f>
        <v>0</v>
      </c>
      <c r="B146" s="915"/>
      <c r="C146" s="746"/>
      <c r="D146" s="745"/>
      <c r="E146" s="745"/>
      <c r="F146" s="745"/>
      <c r="G146" s="745"/>
      <c r="H146" s="745"/>
      <c r="I146" s="745"/>
      <c r="J146" s="75">
        <f t="shared" si="16"/>
        <v>0</v>
      </c>
      <c r="K146" s="75">
        <f t="shared" si="17"/>
        <v>0</v>
      </c>
      <c r="L146" s="745"/>
      <c r="M146" s="747"/>
    </row>
    <row r="147" spans="1:13" ht="13.5" x14ac:dyDescent="0.25">
      <c r="A147" s="760">
        <f>'Org structure'!E142</f>
        <v>0</v>
      </c>
      <c r="B147" s="915"/>
      <c r="C147" s="746"/>
      <c r="D147" s="745"/>
      <c r="E147" s="745"/>
      <c r="F147" s="745"/>
      <c r="G147" s="745"/>
      <c r="H147" s="745"/>
      <c r="I147" s="745"/>
      <c r="J147" s="75">
        <f t="shared" si="16"/>
        <v>0</v>
      </c>
      <c r="K147" s="75">
        <f t="shared" si="17"/>
        <v>0</v>
      </c>
      <c r="L147" s="745"/>
      <c r="M147" s="747"/>
    </row>
    <row r="148" spans="1:13" ht="13.5" x14ac:dyDescent="0.25">
      <c r="A148" s="760">
        <f>'Org structure'!E143</f>
        <v>0</v>
      </c>
      <c r="B148" s="915"/>
      <c r="C148" s="746"/>
      <c r="D148" s="745"/>
      <c r="E148" s="745"/>
      <c r="F148" s="745"/>
      <c r="G148" s="745"/>
      <c r="H148" s="745"/>
      <c r="I148" s="745"/>
      <c r="J148" s="75">
        <f t="shared" si="16"/>
        <v>0</v>
      </c>
      <c r="K148" s="75">
        <f t="shared" si="17"/>
        <v>0</v>
      </c>
      <c r="L148" s="745"/>
      <c r="M148" s="747"/>
    </row>
    <row r="149" spans="1:13" ht="13.5" x14ac:dyDescent="0.25">
      <c r="A149" s="760">
        <f>'Org structure'!E144</f>
        <v>0</v>
      </c>
      <c r="B149" s="915"/>
      <c r="C149" s="746"/>
      <c r="D149" s="745"/>
      <c r="E149" s="745"/>
      <c r="F149" s="745"/>
      <c r="G149" s="745"/>
      <c r="H149" s="745"/>
      <c r="I149" s="745"/>
      <c r="J149" s="75">
        <f t="shared" si="16"/>
        <v>0</v>
      </c>
      <c r="K149" s="75">
        <f t="shared" si="17"/>
        <v>0</v>
      </c>
      <c r="L149" s="745"/>
      <c r="M149" s="747"/>
    </row>
    <row r="150" spans="1:13" ht="13.5" x14ac:dyDescent="0.25">
      <c r="A150" s="757" t="str">
        <f>'Org structure'!A15</f>
        <v>Vote 14 - [NAME OF VOTE 14]</v>
      </c>
      <c r="B150" s="915"/>
      <c r="C150" s="744">
        <f>SUM(C151:C160)</f>
        <v>0</v>
      </c>
      <c r="D150" s="743">
        <f t="shared" ref="D150:I150" si="19">SUM(D151:D160)</f>
        <v>0</v>
      </c>
      <c r="E150" s="743">
        <f t="shared" si="19"/>
        <v>0</v>
      </c>
      <c r="F150" s="743">
        <f t="shared" si="19"/>
        <v>0</v>
      </c>
      <c r="G150" s="743">
        <f t="shared" si="19"/>
        <v>0</v>
      </c>
      <c r="H150" s="743">
        <f t="shared" si="19"/>
        <v>0</v>
      </c>
      <c r="I150" s="743">
        <f t="shared" si="19"/>
        <v>0</v>
      </c>
      <c r="J150" s="75">
        <f t="shared" si="16"/>
        <v>0</v>
      </c>
      <c r="K150" s="75">
        <f t="shared" si="17"/>
        <v>0</v>
      </c>
      <c r="L150" s="743">
        <f>SUM(L151:L160)</f>
        <v>0</v>
      </c>
      <c r="M150" s="771">
        <f>SUM(M151:M160)</f>
        <v>0</v>
      </c>
    </row>
    <row r="151" spans="1:13" ht="13.5" x14ac:dyDescent="0.25">
      <c r="A151" s="760" t="str">
        <f>'Org structure'!E146</f>
        <v>14.1 - [Name of sub-vote]</v>
      </c>
      <c r="B151" s="915"/>
      <c r="C151" s="746"/>
      <c r="D151" s="745"/>
      <c r="E151" s="745"/>
      <c r="F151" s="745"/>
      <c r="G151" s="745"/>
      <c r="H151" s="745"/>
      <c r="I151" s="745"/>
      <c r="J151" s="75">
        <f t="shared" si="16"/>
        <v>0</v>
      </c>
      <c r="K151" s="75">
        <f t="shared" si="17"/>
        <v>0</v>
      </c>
      <c r="L151" s="745"/>
      <c r="M151" s="747"/>
    </row>
    <row r="152" spans="1:13" ht="13.5" x14ac:dyDescent="0.25">
      <c r="A152" s="760">
        <f>'Org structure'!E147</f>
        <v>0</v>
      </c>
      <c r="B152" s="915"/>
      <c r="C152" s="746"/>
      <c r="D152" s="745"/>
      <c r="E152" s="745"/>
      <c r="F152" s="745"/>
      <c r="G152" s="745"/>
      <c r="H152" s="745"/>
      <c r="I152" s="745"/>
      <c r="J152" s="75">
        <f t="shared" si="16"/>
        <v>0</v>
      </c>
      <c r="K152" s="75">
        <f t="shared" si="17"/>
        <v>0</v>
      </c>
      <c r="L152" s="745"/>
      <c r="M152" s="747"/>
    </row>
    <row r="153" spans="1:13" ht="13.5" x14ac:dyDescent="0.25">
      <c r="A153" s="760">
        <f>'Org structure'!E148</f>
        <v>0</v>
      </c>
      <c r="B153" s="915"/>
      <c r="C153" s="746"/>
      <c r="D153" s="745"/>
      <c r="E153" s="745"/>
      <c r="F153" s="745"/>
      <c r="G153" s="745"/>
      <c r="H153" s="745"/>
      <c r="I153" s="745"/>
      <c r="J153" s="75">
        <f t="shared" si="16"/>
        <v>0</v>
      </c>
      <c r="K153" s="75">
        <f t="shared" si="17"/>
        <v>0</v>
      </c>
      <c r="L153" s="745"/>
      <c r="M153" s="747"/>
    </row>
    <row r="154" spans="1:13" ht="13.5" x14ac:dyDescent="0.25">
      <c r="A154" s="760">
        <f>'Org structure'!E149</f>
        <v>0</v>
      </c>
      <c r="B154" s="915"/>
      <c r="C154" s="746"/>
      <c r="D154" s="745"/>
      <c r="E154" s="745"/>
      <c r="F154" s="745"/>
      <c r="G154" s="745"/>
      <c r="H154" s="745"/>
      <c r="I154" s="745"/>
      <c r="J154" s="75">
        <f t="shared" si="16"/>
        <v>0</v>
      </c>
      <c r="K154" s="75">
        <f t="shared" si="17"/>
        <v>0</v>
      </c>
      <c r="L154" s="745"/>
      <c r="M154" s="747"/>
    </row>
    <row r="155" spans="1:13" ht="13.5" x14ac:dyDescent="0.25">
      <c r="A155" s="760">
        <f>'Org structure'!E150</f>
        <v>0</v>
      </c>
      <c r="B155" s="915"/>
      <c r="C155" s="746"/>
      <c r="D155" s="745"/>
      <c r="E155" s="745"/>
      <c r="F155" s="745"/>
      <c r="G155" s="745"/>
      <c r="H155" s="745"/>
      <c r="I155" s="745"/>
      <c r="J155" s="75">
        <f t="shared" si="16"/>
        <v>0</v>
      </c>
      <c r="K155" s="75">
        <f t="shared" si="17"/>
        <v>0</v>
      </c>
      <c r="L155" s="745"/>
      <c r="M155" s="747"/>
    </row>
    <row r="156" spans="1:13" ht="13.5" x14ac:dyDescent="0.25">
      <c r="A156" s="760">
        <f>'Org structure'!E151</f>
        <v>0</v>
      </c>
      <c r="B156" s="915"/>
      <c r="C156" s="746"/>
      <c r="D156" s="745"/>
      <c r="E156" s="745"/>
      <c r="F156" s="745"/>
      <c r="G156" s="745"/>
      <c r="H156" s="745"/>
      <c r="I156" s="745"/>
      <c r="J156" s="75">
        <f t="shared" si="16"/>
        <v>0</v>
      </c>
      <c r="K156" s="75">
        <f t="shared" si="17"/>
        <v>0</v>
      </c>
      <c r="L156" s="745"/>
      <c r="M156" s="747"/>
    </row>
    <row r="157" spans="1:13" ht="13.5" x14ac:dyDescent="0.25">
      <c r="A157" s="760">
        <f>'Org structure'!E152</f>
        <v>0</v>
      </c>
      <c r="B157" s="915"/>
      <c r="C157" s="746"/>
      <c r="D157" s="745"/>
      <c r="E157" s="745"/>
      <c r="F157" s="745"/>
      <c r="G157" s="745"/>
      <c r="H157" s="745"/>
      <c r="I157" s="745"/>
      <c r="J157" s="75">
        <f t="shared" si="16"/>
        <v>0</v>
      </c>
      <c r="K157" s="75">
        <f t="shared" si="17"/>
        <v>0</v>
      </c>
      <c r="L157" s="745"/>
      <c r="M157" s="747"/>
    </row>
    <row r="158" spans="1:13" ht="13.5" x14ac:dyDescent="0.25">
      <c r="A158" s="760">
        <f>'Org structure'!E153</f>
        <v>0</v>
      </c>
      <c r="B158" s="915"/>
      <c r="C158" s="746"/>
      <c r="D158" s="745"/>
      <c r="E158" s="745"/>
      <c r="F158" s="745"/>
      <c r="G158" s="745"/>
      <c r="H158" s="745"/>
      <c r="I158" s="745"/>
      <c r="J158" s="75">
        <f t="shared" si="16"/>
        <v>0</v>
      </c>
      <c r="K158" s="75">
        <f t="shared" si="17"/>
        <v>0</v>
      </c>
      <c r="L158" s="745"/>
      <c r="M158" s="747"/>
    </row>
    <row r="159" spans="1:13" ht="13.5" x14ac:dyDescent="0.25">
      <c r="A159" s="760">
        <f>'Org structure'!E154</f>
        <v>0</v>
      </c>
      <c r="B159" s="915"/>
      <c r="C159" s="746"/>
      <c r="D159" s="745"/>
      <c r="E159" s="745"/>
      <c r="F159" s="745"/>
      <c r="G159" s="745"/>
      <c r="H159" s="745"/>
      <c r="I159" s="745"/>
      <c r="J159" s="75">
        <f t="shared" si="16"/>
        <v>0</v>
      </c>
      <c r="K159" s="75">
        <f t="shared" si="17"/>
        <v>0</v>
      </c>
      <c r="L159" s="745"/>
      <c r="M159" s="747"/>
    </row>
    <row r="160" spans="1:13" ht="13.5" x14ac:dyDescent="0.25">
      <c r="A160" s="760">
        <f>'Org structure'!E155</f>
        <v>0</v>
      </c>
      <c r="B160" s="915"/>
      <c r="C160" s="746"/>
      <c r="D160" s="745"/>
      <c r="E160" s="745"/>
      <c r="F160" s="745"/>
      <c r="G160" s="745"/>
      <c r="H160" s="745"/>
      <c r="I160" s="745"/>
      <c r="J160" s="75">
        <f t="shared" si="16"/>
        <v>0</v>
      </c>
      <c r="K160" s="75">
        <f t="shared" si="17"/>
        <v>0</v>
      </c>
      <c r="L160" s="745"/>
      <c r="M160" s="747"/>
    </row>
    <row r="161" spans="1:13" ht="13.5" x14ac:dyDescent="0.25">
      <c r="A161" s="757" t="str">
        <f>'Org structure'!A16</f>
        <v>Vote 15 - [NAME OF VOTE 15]</v>
      </c>
      <c r="B161" s="915"/>
      <c r="C161" s="744">
        <f>SUM(C162:C171)</f>
        <v>0</v>
      </c>
      <c r="D161" s="743">
        <f t="shared" ref="D161:I161" si="20">SUM(D162:D171)</f>
        <v>0</v>
      </c>
      <c r="E161" s="743">
        <f t="shared" si="20"/>
        <v>0</v>
      </c>
      <c r="F161" s="743">
        <f t="shared" si="20"/>
        <v>0</v>
      </c>
      <c r="G161" s="743">
        <f t="shared" si="20"/>
        <v>0</v>
      </c>
      <c r="H161" s="743">
        <f t="shared" si="20"/>
        <v>0</v>
      </c>
      <c r="I161" s="743">
        <f t="shared" si="20"/>
        <v>0</v>
      </c>
      <c r="J161" s="75">
        <f t="shared" si="16"/>
        <v>0</v>
      </c>
      <c r="K161" s="75">
        <f t="shared" si="17"/>
        <v>0</v>
      </c>
      <c r="L161" s="743">
        <f>SUM(L162:L171)</f>
        <v>0</v>
      </c>
      <c r="M161" s="771">
        <f>SUM(M162:M171)</f>
        <v>0</v>
      </c>
    </row>
    <row r="162" spans="1:13" ht="13.5" x14ac:dyDescent="0.25">
      <c r="A162" s="760" t="str">
        <f>'Org structure'!E157</f>
        <v>15.1 - [Name of sub-vote]</v>
      </c>
      <c r="B162" s="915"/>
      <c r="C162" s="746"/>
      <c r="D162" s="745"/>
      <c r="E162" s="745"/>
      <c r="F162" s="745"/>
      <c r="G162" s="745"/>
      <c r="H162" s="745"/>
      <c r="I162" s="745"/>
      <c r="J162" s="75">
        <f t="shared" si="16"/>
        <v>0</v>
      </c>
      <c r="K162" s="75">
        <f t="shared" si="17"/>
        <v>0</v>
      </c>
      <c r="L162" s="745"/>
      <c r="M162" s="747"/>
    </row>
    <row r="163" spans="1:13" ht="13.5" x14ac:dyDescent="0.25">
      <c r="A163" s="760">
        <f>'Org structure'!E158</f>
        <v>0</v>
      </c>
      <c r="B163" s="915"/>
      <c r="C163" s="746"/>
      <c r="D163" s="745"/>
      <c r="E163" s="745"/>
      <c r="F163" s="745"/>
      <c r="G163" s="745"/>
      <c r="H163" s="745"/>
      <c r="I163" s="745"/>
      <c r="J163" s="75">
        <f t="shared" si="16"/>
        <v>0</v>
      </c>
      <c r="K163" s="75">
        <f t="shared" si="17"/>
        <v>0</v>
      </c>
      <c r="L163" s="745"/>
      <c r="M163" s="747"/>
    </row>
    <row r="164" spans="1:13" ht="13.5" x14ac:dyDescent="0.25">
      <c r="A164" s="760">
        <f>'Org structure'!E159</f>
        <v>0</v>
      </c>
      <c r="B164" s="915"/>
      <c r="C164" s="746"/>
      <c r="D164" s="745"/>
      <c r="E164" s="745"/>
      <c r="F164" s="745"/>
      <c r="G164" s="745"/>
      <c r="H164" s="745"/>
      <c r="I164" s="745"/>
      <c r="J164" s="75">
        <f t="shared" si="16"/>
        <v>0</v>
      </c>
      <c r="K164" s="75">
        <f t="shared" si="17"/>
        <v>0</v>
      </c>
      <c r="L164" s="745"/>
      <c r="M164" s="747"/>
    </row>
    <row r="165" spans="1:13" ht="13.5" x14ac:dyDescent="0.25">
      <c r="A165" s="760">
        <f>'Org structure'!E160</f>
        <v>0</v>
      </c>
      <c r="B165" s="915"/>
      <c r="C165" s="746"/>
      <c r="D165" s="745"/>
      <c r="E165" s="745"/>
      <c r="F165" s="745"/>
      <c r="G165" s="745"/>
      <c r="H165" s="745"/>
      <c r="I165" s="745"/>
      <c r="J165" s="75">
        <f t="shared" si="16"/>
        <v>0</v>
      </c>
      <c r="K165" s="75">
        <f t="shared" si="17"/>
        <v>0</v>
      </c>
      <c r="L165" s="745"/>
      <c r="M165" s="747"/>
    </row>
    <row r="166" spans="1:13" ht="13.5" x14ac:dyDescent="0.25">
      <c r="A166" s="760">
        <f>'Org structure'!E161</f>
        <v>0</v>
      </c>
      <c r="B166" s="915"/>
      <c r="C166" s="746"/>
      <c r="D166" s="745"/>
      <c r="E166" s="745"/>
      <c r="F166" s="745"/>
      <c r="G166" s="745"/>
      <c r="H166" s="745"/>
      <c r="I166" s="745"/>
      <c r="J166" s="75">
        <f t="shared" si="16"/>
        <v>0</v>
      </c>
      <c r="K166" s="75">
        <f t="shared" si="17"/>
        <v>0</v>
      </c>
      <c r="L166" s="745"/>
      <c r="M166" s="747"/>
    </row>
    <row r="167" spans="1:13" ht="13.5" x14ac:dyDescent="0.25">
      <c r="A167" s="760">
        <f>'Org structure'!E162</f>
        <v>0</v>
      </c>
      <c r="B167" s="915"/>
      <c r="C167" s="746"/>
      <c r="D167" s="745"/>
      <c r="E167" s="745"/>
      <c r="F167" s="745"/>
      <c r="G167" s="745"/>
      <c r="H167" s="745"/>
      <c r="I167" s="745"/>
      <c r="J167" s="75">
        <f t="shared" si="16"/>
        <v>0</v>
      </c>
      <c r="K167" s="75">
        <f t="shared" si="17"/>
        <v>0</v>
      </c>
      <c r="L167" s="745"/>
      <c r="M167" s="747"/>
    </row>
    <row r="168" spans="1:13" ht="13.5" x14ac:dyDescent="0.25">
      <c r="A168" s="760">
        <f>'Org structure'!E163</f>
        <v>0</v>
      </c>
      <c r="B168" s="915"/>
      <c r="C168" s="746"/>
      <c r="D168" s="745"/>
      <c r="E168" s="745"/>
      <c r="F168" s="745"/>
      <c r="G168" s="745"/>
      <c r="H168" s="745"/>
      <c r="I168" s="745"/>
      <c r="J168" s="75">
        <f t="shared" si="16"/>
        <v>0</v>
      </c>
      <c r="K168" s="75">
        <f t="shared" si="17"/>
        <v>0</v>
      </c>
      <c r="L168" s="745"/>
      <c r="M168" s="747"/>
    </row>
    <row r="169" spans="1:13" ht="13.5" x14ac:dyDescent="0.25">
      <c r="A169" s="760">
        <f>'Org structure'!E164</f>
        <v>0</v>
      </c>
      <c r="B169" s="915"/>
      <c r="C169" s="746"/>
      <c r="D169" s="745"/>
      <c r="E169" s="745"/>
      <c r="F169" s="745"/>
      <c r="G169" s="745"/>
      <c r="H169" s="745"/>
      <c r="I169" s="745"/>
      <c r="J169" s="75">
        <f t="shared" si="16"/>
        <v>0</v>
      </c>
      <c r="K169" s="75">
        <f t="shared" si="17"/>
        <v>0</v>
      </c>
      <c r="L169" s="745"/>
      <c r="M169" s="747"/>
    </row>
    <row r="170" spans="1:13" ht="13.5" x14ac:dyDescent="0.25">
      <c r="A170" s="760">
        <f>'Org structure'!E165</f>
        <v>0</v>
      </c>
      <c r="B170" s="915"/>
      <c r="C170" s="746"/>
      <c r="D170" s="745"/>
      <c r="E170" s="745"/>
      <c r="F170" s="745"/>
      <c r="G170" s="745"/>
      <c r="H170" s="745"/>
      <c r="I170" s="745"/>
      <c r="J170" s="75">
        <f t="shared" si="16"/>
        <v>0</v>
      </c>
      <c r="K170" s="75">
        <f t="shared" si="17"/>
        <v>0</v>
      </c>
      <c r="L170" s="745"/>
      <c r="M170" s="747"/>
    </row>
    <row r="171" spans="1:13" ht="13.5" x14ac:dyDescent="0.25">
      <c r="A171" s="760">
        <f>'Org structure'!E166</f>
        <v>0</v>
      </c>
      <c r="B171" s="915"/>
      <c r="C171" s="746"/>
      <c r="D171" s="745"/>
      <c r="E171" s="745"/>
      <c r="F171" s="745"/>
      <c r="G171" s="745"/>
      <c r="H171" s="745"/>
      <c r="I171" s="745"/>
      <c r="J171" s="75">
        <f t="shared" si="16"/>
        <v>0</v>
      </c>
      <c r="K171" s="75">
        <f t="shared" si="17"/>
        <v>0</v>
      </c>
      <c r="L171" s="745"/>
      <c r="M171" s="747"/>
    </row>
    <row r="172" spans="1:13" ht="13.5" x14ac:dyDescent="0.25">
      <c r="A172" s="748" t="s">
        <v>607</v>
      </c>
      <c r="B172" s="913">
        <v>2</v>
      </c>
      <c r="C172" s="750">
        <f>C7+C18+C29+C40+C51+C62+C73+C84+C95+C106+C117+C128+C139+C150+C161</f>
        <v>1176787573</v>
      </c>
      <c r="D172" s="749">
        <f t="shared" ref="D172:I172" si="21">D7+D18+D29+D40+D51+D62+D73+D84+D95+D106+D117+D128+D139+D150+D161</f>
        <v>0</v>
      </c>
      <c r="E172" s="749">
        <f t="shared" si="21"/>
        <v>0</v>
      </c>
      <c r="F172" s="749">
        <f t="shared" si="21"/>
        <v>0</v>
      </c>
      <c r="G172" s="749">
        <f t="shared" si="21"/>
        <v>0</v>
      </c>
      <c r="H172" s="749">
        <f t="shared" si="21"/>
        <v>0</v>
      </c>
      <c r="I172" s="749">
        <f t="shared" si="21"/>
        <v>-500000</v>
      </c>
      <c r="J172" s="75">
        <f>SUM(E172:I172)</f>
        <v>-500000</v>
      </c>
      <c r="K172" s="75">
        <f>IF(D172=0,C172+J172,D172+J172)</f>
        <v>1176287573</v>
      </c>
      <c r="L172" s="749">
        <f>L7+L18+L29+L40+L51+L62+L73+L84+L95+L106+L117+L128+L139+L150+L161</f>
        <v>1250039839.5149999</v>
      </c>
      <c r="M172" s="772">
        <f>M7+M18+M29+M40+M51+M62+M73+M84+M95+M106+M117+M128+M139+M150+M161</f>
        <v>1328249600.6883249</v>
      </c>
    </row>
    <row r="173" spans="1:13" ht="5.25" customHeight="1" x14ac:dyDescent="0.25">
      <c r="A173" s="751"/>
      <c r="B173" s="917"/>
      <c r="C173" s="753"/>
      <c r="D173" s="752"/>
      <c r="E173" s="752"/>
      <c r="F173" s="752"/>
      <c r="G173" s="752"/>
      <c r="H173" s="752"/>
      <c r="I173" s="752"/>
      <c r="J173" s="752"/>
      <c r="K173" s="752"/>
      <c r="L173" s="752"/>
      <c r="M173" s="773"/>
    </row>
    <row r="174" spans="1:13" ht="13.5" x14ac:dyDescent="0.25">
      <c r="A174" s="754" t="s">
        <v>608</v>
      </c>
      <c r="B174" s="918">
        <v>1</v>
      </c>
      <c r="C174" s="756"/>
      <c r="D174" s="755"/>
      <c r="E174" s="755"/>
      <c r="F174" s="755"/>
      <c r="G174" s="755"/>
      <c r="H174" s="755"/>
      <c r="I174" s="755"/>
      <c r="J174" s="755"/>
      <c r="K174" s="755"/>
      <c r="L174" s="755"/>
      <c r="M174" s="774"/>
    </row>
    <row r="175" spans="1:13" ht="13.5" x14ac:dyDescent="0.25">
      <c r="A175" s="757" t="str">
        <f>A7</f>
        <v>Vote 1 - Municipal Manager</v>
      </c>
      <c r="B175" s="919"/>
      <c r="C175" s="759">
        <f t="shared" ref="C175:I175" si="22">SUM(C176:C185)</f>
        <v>30146709</v>
      </c>
      <c r="D175" s="758">
        <f t="shared" si="22"/>
        <v>0</v>
      </c>
      <c r="E175" s="758">
        <f t="shared" si="22"/>
        <v>0</v>
      </c>
      <c r="F175" s="758">
        <f t="shared" si="22"/>
        <v>0</v>
      </c>
      <c r="G175" s="758">
        <f t="shared" si="22"/>
        <v>0</v>
      </c>
      <c r="H175" s="758">
        <f t="shared" si="22"/>
        <v>0</v>
      </c>
      <c r="I175" s="758">
        <f t="shared" si="22"/>
        <v>4500000</v>
      </c>
      <c r="J175" s="75">
        <f>SUM(E175:I175)</f>
        <v>4500000</v>
      </c>
      <c r="K175" s="75">
        <f>IF(D175=0,C175+J175,D175+J175)</f>
        <v>34646709</v>
      </c>
      <c r="L175" s="758">
        <f>SUM(L176:L185)</f>
        <v>31796348.75</v>
      </c>
      <c r="M175" s="775">
        <f>SUM(M176:M185)</f>
        <v>33509358.686250001</v>
      </c>
    </row>
    <row r="176" spans="1:13" ht="13.5" x14ac:dyDescent="0.25">
      <c r="A176" s="760" t="str">
        <f t="shared" ref="A176:A185" si="23">A8</f>
        <v>1.1 - Administration Municipal Manager</v>
      </c>
      <c r="B176" s="915"/>
      <c r="C176" s="389">
        <v>4137494</v>
      </c>
      <c r="D176" s="109"/>
      <c r="E176" s="109"/>
      <c r="F176" s="109"/>
      <c r="G176" s="109"/>
      <c r="H176" s="109"/>
      <c r="I176" s="109"/>
      <c r="J176" s="75">
        <f t="shared" ref="J176:J239" si="24">SUM(E176:I176)</f>
        <v>0</v>
      </c>
      <c r="K176" s="75">
        <f t="shared" ref="K176:K239" si="25">IF(D176=0,C176+J176,D176+J176)</f>
        <v>4137494</v>
      </c>
      <c r="L176" s="109">
        <v>4361833.9399999995</v>
      </c>
      <c r="M176" s="110">
        <v>4565128.5766999992</v>
      </c>
    </row>
    <row r="177" spans="1:13" ht="13.5" x14ac:dyDescent="0.25">
      <c r="A177" s="760" t="str">
        <f t="shared" si="23"/>
        <v>1.2 - Internal Audit</v>
      </c>
      <c r="B177" s="915"/>
      <c r="C177" s="389">
        <v>5687754</v>
      </c>
      <c r="D177" s="109"/>
      <c r="E177" s="109"/>
      <c r="F177" s="109"/>
      <c r="G177" s="109"/>
      <c r="H177" s="109"/>
      <c r="I177" s="109"/>
      <c r="J177" s="75">
        <f t="shared" si="24"/>
        <v>0</v>
      </c>
      <c r="K177" s="75">
        <f t="shared" si="25"/>
        <v>5687754</v>
      </c>
      <c r="L177" s="109">
        <v>5999685.8949999986</v>
      </c>
      <c r="M177" s="110">
        <v>6331357.0442249998</v>
      </c>
    </row>
    <row r="178" spans="1:13" ht="13.5" x14ac:dyDescent="0.25">
      <c r="A178" s="760" t="str">
        <f t="shared" si="23"/>
        <v>1.4 - Strategic Support</v>
      </c>
      <c r="B178" s="915"/>
      <c r="C178" s="389">
        <v>3156169</v>
      </c>
      <c r="D178" s="109"/>
      <c r="E178" s="109"/>
      <c r="F178" s="109"/>
      <c r="G178" s="109"/>
      <c r="H178" s="109"/>
      <c r="I178" s="109"/>
      <c r="J178" s="75">
        <f t="shared" si="24"/>
        <v>0</v>
      </c>
      <c r="K178" s="75">
        <f t="shared" si="25"/>
        <v>3156169</v>
      </c>
      <c r="L178" s="109">
        <v>3328717.8600000003</v>
      </c>
      <c r="M178" s="110">
        <v>3510687.9072999996</v>
      </c>
    </row>
    <row r="179" spans="1:13" ht="13.5" x14ac:dyDescent="0.25">
      <c r="A179" s="760" t="str">
        <f t="shared" si="23"/>
        <v>1.5 - Risk Management</v>
      </c>
      <c r="B179" s="915"/>
      <c r="C179" s="389">
        <v>2031723</v>
      </c>
      <c r="D179" s="109"/>
      <c r="E179" s="109"/>
      <c r="F179" s="109"/>
      <c r="G179" s="109"/>
      <c r="H179" s="109"/>
      <c r="I179" s="109"/>
      <c r="J179" s="75">
        <f t="shared" si="24"/>
        <v>0</v>
      </c>
      <c r="K179" s="75">
        <f t="shared" si="25"/>
        <v>2031723</v>
      </c>
      <c r="L179" s="109">
        <v>2143467.7650000001</v>
      </c>
      <c r="M179" s="110">
        <v>2261358.492075</v>
      </c>
    </row>
    <row r="180" spans="1:13" ht="13.5" x14ac:dyDescent="0.25">
      <c r="A180" s="760" t="str">
        <f t="shared" si="23"/>
        <v>1.3 - Disaster Management</v>
      </c>
      <c r="B180" s="915"/>
      <c r="C180" s="389">
        <v>2304385</v>
      </c>
      <c r="D180" s="109"/>
      <c r="E180" s="109"/>
      <c r="F180" s="109"/>
      <c r="G180" s="109"/>
      <c r="H180" s="109"/>
      <c r="I180" s="109"/>
      <c r="J180" s="75">
        <f t="shared" si="24"/>
        <v>0</v>
      </c>
      <c r="K180" s="75">
        <f t="shared" si="25"/>
        <v>2304385</v>
      </c>
      <c r="L180" s="109">
        <v>2427854.1700000004</v>
      </c>
      <c r="M180" s="110">
        <v>2561624.1443499997</v>
      </c>
    </row>
    <row r="181" spans="1:13" ht="13.5" x14ac:dyDescent="0.25">
      <c r="A181" s="760" t="str">
        <f t="shared" si="23"/>
        <v>1.6 - Legal Services</v>
      </c>
      <c r="B181" s="915"/>
      <c r="C181" s="389">
        <v>12829184</v>
      </c>
      <c r="D181" s="109"/>
      <c r="E181" s="109"/>
      <c r="F181" s="109"/>
      <c r="G181" s="109"/>
      <c r="H181" s="109"/>
      <c r="I181" s="109">
        <v>4500000</v>
      </c>
      <c r="J181" s="75">
        <f t="shared" si="24"/>
        <v>4500000</v>
      </c>
      <c r="K181" s="75">
        <f t="shared" si="25"/>
        <v>17329184</v>
      </c>
      <c r="L181" s="109">
        <v>13534789.120000001</v>
      </c>
      <c r="M181" s="110">
        <v>14279202.521600004</v>
      </c>
    </row>
    <row r="182" spans="1:13" ht="13.5" x14ac:dyDescent="0.25">
      <c r="A182" s="760">
        <f t="shared" si="23"/>
        <v>0</v>
      </c>
      <c r="B182" s="915"/>
      <c r="C182" s="389"/>
      <c r="D182" s="109"/>
      <c r="E182" s="109"/>
      <c r="F182" s="109"/>
      <c r="G182" s="109"/>
      <c r="H182" s="109"/>
      <c r="I182" s="109"/>
      <c r="J182" s="75">
        <f t="shared" si="24"/>
        <v>0</v>
      </c>
      <c r="K182" s="75">
        <f t="shared" si="25"/>
        <v>0</v>
      </c>
      <c r="L182" s="109"/>
      <c r="M182" s="110"/>
    </row>
    <row r="183" spans="1:13" ht="13.5" x14ac:dyDescent="0.25">
      <c r="A183" s="760">
        <f t="shared" si="23"/>
        <v>0</v>
      </c>
      <c r="B183" s="915"/>
      <c r="C183" s="389"/>
      <c r="D183" s="109"/>
      <c r="E183" s="109"/>
      <c r="F183" s="109"/>
      <c r="G183" s="109"/>
      <c r="H183" s="109"/>
      <c r="I183" s="109"/>
      <c r="J183" s="75">
        <f t="shared" si="24"/>
        <v>0</v>
      </c>
      <c r="K183" s="75">
        <f t="shared" si="25"/>
        <v>0</v>
      </c>
      <c r="L183" s="109"/>
      <c r="M183" s="110"/>
    </row>
    <row r="184" spans="1:13" ht="13.5" x14ac:dyDescent="0.25">
      <c r="A184" s="760">
        <f t="shared" si="23"/>
        <v>0</v>
      </c>
      <c r="B184" s="915"/>
      <c r="C184" s="389"/>
      <c r="D184" s="109"/>
      <c r="E184" s="109"/>
      <c r="F184" s="109"/>
      <c r="G184" s="109"/>
      <c r="H184" s="109"/>
      <c r="I184" s="109"/>
      <c r="J184" s="75">
        <f t="shared" si="24"/>
        <v>0</v>
      </c>
      <c r="K184" s="75">
        <f t="shared" si="25"/>
        <v>0</v>
      </c>
      <c r="L184" s="109"/>
      <c r="M184" s="110"/>
    </row>
    <row r="185" spans="1:13" ht="13.5" x14ac:dyDescent="0.25">
      <c r="A185" s="760">
        <f t="shared" si="23"/>
        <v>0</v>
      </c>
      <c r="B185" s="915"/>
      <c r="C185" s="389"/>
      <c r="D185" s="109"/>
      <c r="E185" s="109"/>
      <c r="F185" s="109"/>
      <c r="G185" s="109"/>
      <c r="H185" s="109"/>
      <c r="I185" s="109"/>
      <c r="J185" s="75">
        <f t="shared" si="24"/>
        <v>0</v>
      </c>
      <c r="K185" s="75">
        <f t="shared" si="25"/>
        <v>0</v>
      </c>
      <c r="L185" s="109"/>
      <c r="M185" s="110"/>
    </row>
    <row r="186" spans="1:13" ht="13.5" x14ac:dyDescent="0.25">
      <c r="A186" s="757" t="str">
        <f>A18</f>
        <v>Vote 2 - Planning &amp; Economic Development</v>
      </c>
      <c r="B186" s="914"/>
      <c r="C186" s="744">
        <f t="shared" ref="C186:I186" si="26">SUM(C187:C196)</f>
        <v>31729992.59</v>
      </c>
      <c r="D186" s="743">
        <f t="shared" si="26"/>
        <v>0</v>
      </c>
      <c r="E186" s="743">
        <f t="shared" si="26"/>
        <v>0</v>
      </c>
      <c r="F186" s="743">
        <f t="shared" si="26"/>
        <v>0</v>
      </c>
      <c r="G186" s="743">
        <f t="shared" si="26"/>
        <v>0</v>
      </c>
      <c r="H186" s="743">
        <f t="shared" si="26"/>
        <v>0</v>
      </c>
      <c r="I186" s="743">
        <f t="shared" si="26"/>
        <v>-207966</v>
      </c>
      <c r="J186" s="75">
        <f t="shared" si="24"/>
        <v>-207966</v>
      </c>
      <c r="K186" s="75">
        <f t="shared" si="25"/>
        <v>31522026.59</v>
      </c>
      <c r="L186" s="743">
        <f>SUM(L187:L196)</f>
        <v>33458787.162450004</v>
      </c>
      <c r="M186" s="771">
        <f>SUM(M187:M196)</f>
        <v>35334172.436384745</v>
      </c>
    </row>
    <row r="187" spans="1:13" ht="13.5" x14ac:dyDescent="0.25">
      <c r="A187" s="760" t="str">
        <f t="shared" ref="A187:A218" si="27">A19</f>
        <v>2.1 - Administration Strategy &amp; Development</v>
      </c>
      <c r="B187" s="915"/>
      <c r="C187" s="389">
        <v>3362649</v>
      </c>
      <c r="D187" s="109"/>
      <c r="E187" s="109"/>
      <c r="F187" s="109"/>
      <c r="G187" s="109"/>
      <c r="H187" s="109"/>
      <c r="I187" s="109">
        <v>-50000</v>
      </c>
      <c r="J187" s="75">
        <f t="shared" si="24"/>
        <v>-50000</v>
      </c>
      <c r="K187" s="75">
        <f t="shared" si="25"/>
        <v>3312649</v>
      </c>
      <c r="L187" s="109">
        <v>3538998.8000000012</v>
      </c>
      <c r="M187" s="110">
        <v>3762230.8389999992</v>
      </c>
    </row>
    <row r="188" spans="1:13" ht="13.5" x14ac:dyDescent="0.25">
      <c r="A188" s="760" t="str">
        <f t="shared" si="27"/>
        <v>2.2 - Local Economic Development</v>
      </c>
      <c r="B188" s="915"/>
      <c r="C188" s="389">
        <v>14742352.59</v>
      </c>
      <c r="D188" s="109"/>
      <c r="E188" s="109"/>
      <c r="F188" s="109"/>
      <c r="G188" s="109"/>
      <c r="H188" s="109"/>
      <c r="I188" s="109">
        <v>-20000</v>
      </c>
      <c r="J188" s="75">
        <f t="shared" si="24"/>
        <v>-20000</v>
      </c>
      <c r="K188" s="75">
        <f t="shared" si="25"/>
        <v>14722352.59</v>
      </c>
      <c r="L188" s="109">
        <v>15553078.582450001</v>
      </c>
      <c r="M188" s="110">
        <v>16408505.50448475</v>
      </c>
    </row>
    <row r="189" spans="1:13" ht="13.5" x14ac:dyDescent="0.25">
      <c r="A189" s="760" t="str">
        <f t="shared" si="27"/>
        <v>2.3 - Town &amp; Regional Planning</v>
      </c>
      <c r="B189" s="915"/>
      <c r="C189" s="389">
        <v>6682886</v>
      </c>
      <c r="D189" s="109"/>
      <c r="E189" s="109"/>
      <c r="F189" s="109"/>
      <c r="G189" s="109"/>
      <c r="H189" s="109"/>
      <c r="I189" s="109">
        <f>-80000-29987</f>
        <v>-109987</v>
      </c>
      <c r="J189" s="75">
        <f t="shared" si="24"/>
        <v>-109987</v>
      </c>
      <c r="K189" s="75">
        <f t="shared" si="25"/>
        <v>6572899</v>
      </c>
      <c r="L189" s="109">
        <v>7049986.5800000001</v>
      </c>
      <c r="M189" s="110">
        <v>7437768.6919</v>
      </c>
    </row>
    <row r="190" spans="1:13" ht="13.5" x14ac:dyDescent="0.25">
      <c r="A190" s="760" t="str">
        <f t="shared" si="27"/>
        <v>2.4 - Housing Administration</v>
      </c>
      <c r="B190" s="915"/>
      <c r="C190" s="389">
        <v>6857815</v>
      </c>
      <c r="D190" s="109"/>
      <c r="E190" s="109"/>
      <c r="F190" s="109"/>
      <c r="G190" s="109"/>
      <c r="H190" s="109"/>
      <c r="I190" s="109">
        <f>-20000-7979</f>
        <v>-27979</v>
      </c>
      <c r="J190" s="75">
        <f t="shared" si="24"/>
        <v>-27979</v>
      </c>
      <c r="K190" s="75">
        <f t="shared" si="25"/>
        <v>6829836</v>
      </c>
      <c r="L190" s="109">
        <v>7227797.2499999981</v>
      </c>
      <c r="M190" s="110">
        <v>7631850.5237499988</v>
      </c>
    </row>
    <row r="191" spans="1:13" ht="13.5" x14ac:dyDescent="0.25">
      <c r="A191" s="760" t="str">
        <f t="shared" si="27"/>
        <v>2.5 - SATELITE OFFICE: NKOWANKOWA</v>
      </c>
      <c r="B191" s="915"/>
      <c r="C191" s="389">
        <v>31376</v>
      </c>
      <c r="D191" s="109"/>
      <c r="E191" s="109"/>
      <c r="F191" s="109"/>
      <c r="G191" s="109"/>
      <c r="H191" s="109"/>
      <c r="I191" s="109"/>
      <c r="J191" s="75">
        <f t="shared" si="24"/>
        <v>0</v>
      </c>
      <c r="K191" s="75">
        <f t="shared" si="25"/>
        <v>31376</v>
      </c>
      <c r="L191" s="109">
        <v>33101.68</v>
      </c>
      <c r="M191" s="110">
        <v>34922.272400000002</v>
      </c>
    </row>
    <row r="192" spans="1:13" ht="13.5" x14ac:dyDescent="0.25">
      <c r="A192" s="760" t="str">
        <f t="shared" si="27"/>
        <v>2.6 - SATELITE OFFICE: LENYENYE</v>
      </c>
      <c r="B192" s="915"/>
      <c r="C192" s="389">
        <v>35427</v>
      </c>
      <c r="D192" s="109"/>
      <c r="E192" s="109"/>
      <c r="F192" s="109"/>
      <c r="G192" s="109"/>
      <c r="H192" s="109"/>
      <c r="I192" s="109"/>
      <c r="J192" s="75">
        <f t="shared" si="24"/>
        <v>0</v>
      </c>
      <c r="K192" s="75">
        <f t="shared" si="25"/>
        <v>35427</v>
      </c>
      <c r="L192" s="109">
        <v>37375.485000000001</v>
      </c>
      <c r="M192" s="110">
        <v>39431.136675000009</v>
      </c>
    </row>
    <row r="193" spans="1:13" ht="13.5" x14ac:dyDescent="0.25">
      <c r="A193" s="760" t="str">
        <f t="shared" si="27"/>
        <v>2.7 - SATELITE OFFICE: LETSITELE</v>
      </c>
      <c r="B193" s="915"/>
      <c r="C193" s="389">
        <v>17487</v>
      </c>
      <c r="D193" s="109"/>
      <c r="E193" s="109"/>
      <c r="F193" s="109"/>
      <c r="G193" s="109"/>
      <c r="H193" s="109"/>
      <c r="I193" s="109"/>
      <c r="J193" s="75">
        <f t="shared" si="24"/>
        <v>0</v>
      </c>
      <c r="K193" s="75">
        <f t="shared" si="25"/>
        <v>17487</v>
      </c>
      <c r="L193" s="109">
        <v>18448.785</v>
      </c>
      <c r="M193" s="110">
        <v>19463.468175000002</v>
      </c>
    </row>
    <row r="194" spans="1:13" ht="13.5" x14ac:dyDescent="0.25">
      <c r="A194" s="760">
        <f t="shared" si="27"/>
        <v>0</v>
      </c>
      <c r="B194" s="915"/>
      <c r="C194" s="389"/>
      <c r="D194" s="109"/>
      <c r="E194" s="109"/>
      <c r="F194" s="109"/>
      <c r="G194" s="109"/>
      <c r="H194" s="109"/>
      <c r="I194" s="109"/>
      <c r="J194" s="75">
        <f t="shared" si="24"/>
        <v>0</v>
      </c>
      <c r="K194" s="75">
        <f t="shared" si="25"/>
        <v>0</v>
      </c>
      <c r="L194" s="109"/>
      <c r="M194" s="110"/>
    </row>
    <row r="195" spans="1:13" ht="13.5" x14ac:dyDescent="0.25">
      <c r="A195" s="760">
        <f t="shared" si="27"/>
        <v>0</v>
      </c>
      <c r="B195" s="915"/>
      <c r="C195" s="389"/>
      <c r="D195" s="109"/>
      <c r="E195" s="109"/>
      <c r="F195" s="109"/>
      <c r="G195" s="109"/>
      <c r="H195" s="109"/>
      <c r="I195" s="109"/>
      <c r="J195" s="75">
        <f t="shared" si="24"/>
        <v>0</v>
      </c>
      <c r="K195" s="75">
        <f t="shared" si="25"/>
        <v>0</v>
      </c>
      <c r="L195" s="109"/>
      <c r="M195" s="110"/>
    </row>
    <row r="196" spans="1:13" ht="13.5" x14ac:dyDescent="0.25">
      <c r="A196" s="760">
        <f t="shared" si="27"/>
        <v>0</v>
      </c>
      <c r="B196" s="915"/>
      <c r="C196" s="389"/>
      <c r="D196" s="109"/>
      <c r="E196" s="109"/>
      <c r="F196" s="109"/>
      <c r="G196" s="109"/>
      <c r="H196" s="109"/>
      <c r="I196" s="109"/>
      <c r="J196" s="75">
        <f t="shared" si="24"/>
        <v>0</v>
      </c>
      <c r="K196" s="75">
        <f t="shared" si="25"/>
        <v>0</v>
      </c>
      <c r="L196" s="109"/>
      <c r="M196" s="110"/>
    </row>
    <row r="197" spans="1:13" ht="13.5" x14ac:dyDescent="0.25">
      <c r="A197" s="757" t="str">
        <f t="shared" si="27"/>
        <v>Vote 3 - Financial Services</v>
      </c>
      <c r="B197" s="914"/>
      <c r="C197" s="744">
        <f t="shared" ref="C197:I197" si="28">SUM(C198:C207)</f>
        <v>101488569.89</v>
      </c>
      <c r="D197" s="743">
        <f t="shared" si="28"/>
        <v>0</v>
      </c>
      <c r="E197" s="743">
        <f t="shared" si="28"/>
        <v>0</v>
      </c>
      <c r="F197" s="743">
        <f t="shared" si="28"/>
        <v>0</v>
      </c>
      <c r="G197" s="743">
        <f t="shared" si="28"/>
        <v>0</v>
      </c>
      <c r="H197" s="743">
        <f t="shared" si="28"/>
        <v>0</v>
      </c>
      <c r="I197" s="743">
        <f t="shared" si="28"/>
        <v>4500000</v>
      </c>
      <c r="J197" s="75">
        <f t="shared" si="24"/>
        <v>4500000</v>
      </c>
      <c r="K197" s="75">
        <f t="shared" si="25"/>
        <v>105988569.89</v>
      </c>
      <c r="L197" s="743">
        <f>SUM(L198:L207)</f>
        <v>106914751.41395001</v>
      </c>
      <c r="M197" s="771">
        <f>SUM(M198:M207)</f>
        <v>112671971.92171726</v>
      </c>
    </row>
    <row r="198" spans="1:13" ht="13.5" x14ac:dyDescent="0.25">
      <c r="A198" s="760" t="str">
        <f t="shared" si="27"/>
        <v>3.1 - Administration Finance</v>
      </c>
      <c r="B198" s="915"/>
      <c r="C198" s="389">
        <v>33062107</v>
      </c>
      <c r="D198" s="109"/>
      <c r="E198" s="109"/>
      <c r="F198" s="109"/>
      <c r="G198" s="109"/>
      <c r="H198" s="109"/>
      <c r="I198" s="109">
        <f>1500000+3000000</f>
        <v>4500000</v>
      </c>
      <c r="J198" s="75">
        <f t="shared" si="24"/>
        <v>4500000</v>
      </c>
      <c r="K198" s="75">
        <f t="shared" si="25"/>
        <v>37562107</v>
      </c>
      <c r="L198" s="109">
        <v>34879246.225000009</v>
      </c>
      <c r="M198" s="110">
        <v>36796328.107374996</v>
      </c>
    </row>
    <row r="199" spans="1:13" ht="13.5" x14ac:dyDescent="0.25">
      <c r="A199" s="760" t="str">
        <f t="shared" si="27"/>
        <v>3.2 - Budget office</v>
      </c>
      <c r="B199" s="915"/>
      <c r="C199" s="389">
        <v>15844810</v>
      </c>
      <c r="D199" s="109"/>
      <c r="E199" s="109"/>
      <c r="F199" s="109"/>
      <c r="G199" s="109"/>
      <c r="H199" s="109"/>
      <c r="I199" s="109"/>
      <c r="J199" s="75">
        <f t="shared" si="24"/>
        <v>0</v>
      </c>
      <c r="K199" s="75">
        <f t="shared" si="25"/>
        <v>15844810</v>
      </c>
      <c r="L199" s="109">
        <v>16570889.475000001</v>
      </c>
      <c r="M199" s="110">
        <v>17359817.321125001</v>
      </c>
    </row>
    <row r="200" spans="1:13" ht="13.5" x14ac:dyDescent="0.25">
      <c r="A200" s="760" t="str">
        <f t="shared" si="27"/>
        <v>3.3 - Revenue</v>
      </c>
      <c r="B200" s="915"/>
      <c r="C200" s="389">
        <v>34066197.890000001</v>
      </c>
      <c r="D200" s="109"/>
      <c r="E200" s="109"/>
      <c r="F200" s="109"/>
      <c r="G200" s="109"/>
      <c r="H200" s="109"/>
      <c r="I200" s="109"/>
      <c r="J200" s="75">
        <f t="shared" si="24"/>
        <v>0</v>
      </c>
      <c r="K200" s="75">
        <f t="shared" si="25"/>
        <v>34066197.890000001</v>
      </c>
      <c r="L200" s="109">
        <v>35934514.168949991</v>
      </c>
      <c r="M200" s="110">
        <v>37911299.843242258</v>
      </c>
    </row>
    <row r="201" spans="1:13" ht="13.5" x14ac:dyDescent="0.25">
      <c r="A201" s="760" t="str">
        <f t="shared" si="27"/>
        <v>3.4 - Expenditure</v>
      </c>
      <c r="B201" s="915"/>
      <c r="C201" s="389">
        <v>8740672</v>
      </c>
      <c r="D201" s="109"/>
      <c r="E201" s="109"/>
      <c r="F201" s="109"/>
      <c r="G201" s="109"/>
      <c r="H201" s="109"/>
      <c r="I201" s="109"/>
      <c r="J201" s="75">
        <f t="shared" si="24"/>
        <v>0</v>
      </c>
      <c r="K201" s="75">
        <f t="shared" si="25"/>
        <v>8740672</v>
      </c>
      <c r="L201" s="109">
        <v>9219261.0450000018</v>
      </c>
      <c r="M201" s="110">
        <v>9726476.4874750003</v>
      </c>
    </row>
    <row r="202" spans="1:13" ht="13.5" x14ac:dyDescent="0.25">
      <c r="A202" s="760" t="str">
        <f t="shared" si="27"/>
        <v>3.5 - Inventory</v>
      </c>
      <c r="B202" s="915"/>
      <c r="C202" s="389">
        <v>4921588</v>
      </c>
      <c r="D202" s="109"/>
      <c r="E202" s="109"/>
      <c r="F202" s="109"/>
      <c r="G202" s="109"/>
      <c r="H202" s="109"/>
      <c r="I202" s="109"/>
      <c r="J202" s="75">
        <f t="shared" si="24"/>
        <v>0</v>
      </c>
      <c r="K202" s="75">
        <f t="shared" si="25"/>
        <v>4921588</v>
      </c>
      <c r="L202" s="109">
        <v>5191906.1800000006</v>
      </c>
      <c r="M202" s="110">
        <v>5477487.8598999996</v>
      </c>
    </row>
    <row r="203" spans="1:13" ht="13.5" x14ac:dyDescent="0.25">
      <c r="A203" s="760" t="str">
        <f t="shared" si="27"/>
        <v>3.6 - Supply Chain Management</v>
      </c>
      <c r="B203" s="915"/>
      <c r="C203" s="389">
        <v>4853195</v>
      </c>
      <c r="D203" s="109"/>
      <c r="E203" s="109"/>
      <c r="F203" s="109"/>
      <c r="G203" s="109"/>
      <c r="H203" s="109"/>
      <c r="I203" s="109"/>
      <c r="J203" s="75">
        <f t="shared" si="24"/>
        <v>0</v>
      </c>
      <c r="K203" s="75">
        <f t="shared" si="25"/>
        <v>4853195</v>
      </c>
      <c r="L203" s="109">
        <v>5118934.3199999994</v>
      </c>
      <c r="M203" s="110">
        <v>5400562.3025999991</v>
      </c>
    </row>
    <row r="204" spans="1:13" ht="13.5" x14ac:dyDescent="0.25">
      <c r="A204" s="760">
        <f t="shared" si="27"/>
        <v>0</v>
      </c>
      <c r="B204" s="915"/>
      <c r="C204" s="389"/>
      <c r="D204" s="109"/>
      <c r="E204" s="109"/>
      <c r="F204" s="109"/>
      <c r="G204" s="109"/>
      <c r="H204" s="109"/>
      <c r="I204" s="109"/>
      <c r="J204" s="75">
        <f t="shared" si="24"/>
        <v>0</v>
      </c>
      <c r="K204" s="75">
        <f t="shared" si="25"/>
        <v>0</v>
      </c>
      <c r="L204" s="109"/>
      <c r="M204" s="110"/>
    </row>
    <row r="205" spans="1:13" ht="13.5" x14ac:dyDescent="0.25">
      <c r="A205" s="760">
        <f t="shared" si="27"/>
        <v>0</v>
      </c>
      <c r="B205" s="915"/>
      <c r="C205" s="389"/>
      <c r="D205" s="109"/>
      <c r="E205" s="109"/>
      <c r="F205" s="109"/>
      <c r="G205" s="109"/>
      <c r="H205" s="109"/>
      <c r="I205" s="109"/>
      <c r="J205" s="75">
        <f t="shared" si="24"/>
        <v>0</v>
      </c>
      <c r="K205" s="75">
        <f t="shared" si="25"/>
        <v>0</v>
      </c>
      <c r="L205" s="109"/>
      <c r="M205" s="110"/>
    </row>
    <row r="206" spans="1:13" ht="13.5" x14ac:dyDescent="0.25">
      <c r="A206" s="760">
        <f t="shared" si="27"/>
        <v>0</v>
      </c>
      <c r="B206" s="915"/>
      <c r="C206" s="389"/>
      <c r="D206" s="109"/>
      <c r="E206" s="109"/>
      <c r="F206" s="109"/>
      <c r="G206" s="109"/>
      <c r="H206" s="109"/>
      <c r="I206" s="109"/>
      <c r="J206" s="75">
        <f t="shared" si="24"/>
        <v>0</v>
      </c>
      <c r="K206" s="75">
        <f t="shared" si="25"/>
        <v>0</v>
      </c>
      <c r="L206" s="109"/>
      <c r="M206" s="110"/>
    </row>
    <row r="207" spans="1:13" ht="13.5" x14ac:dyDescent="0.25">
      <c r="A207" s="760">
        <f t="shared" si="27"/>
        <v>0</v>
      </c>
      <c r="B207" s="915"/>
      <c r="C207" s="389"/>
      <c r="D207" s="109"/>
      <c r="E207" s="109"/>
      <c r="F207" s="109"/>
      <c r="G207" s="109"/>
      <c r="H207" s="109"/>
      <c r="I207" s="109"/>
      <c r="J207" s="75">
        <f t="shared" si="24"/>
        <v>0</v>
      </c>
      <c r="K207" s="75">
        <f t="shared" si="25"/>
        <v>0</v>
      </c>
      <c r="L207" s="109"/>
      <c r="M207" s="110"/>
    </row>
    <row r="208" spans="1:13" ht="13.5" x14ac:dyDescent="0.25">
      <c r="A208" s="757" t="str">
        <f t="shared" si="27"/>
        <v>Vote 4 - Corporate Services</v>
      </c>
      <c r="B208" s="914"/>
      <c r="C208" s="744">
        <f t="shared" ref="C208:I208" si="29">SUM(C209:C218)</f>
        <v>102190102.57000001</v>
      </c>
      <c r="D208" s="743">
        <f t="shared" si="29"/>
        <v>0</v>
      </c>
      <c r="E208" s="743">
        <f t="shared" si="29"/>
        <v>0</v>
      </c>
      <c r="F208" s="743">
        <f t="shared" si="29"/>
        <v>0</v>
      </c>
      <c r="G208" s="743">
        <f t="shared" si="29"/>
        <v>0</v>
      </c>
      <c r="H208" s="743">
        <f t="shared" si="29"/>
        <v>0</v>
      </c>
      <c r="I208" s="743">
        <f t="shared" si="29"/>
        <v>-254933</v>
      </c>
      <c r="J208" s="75">
        <f t="shared" si="24"/>
        <v>-254933</v>
      </c>
      <c r="K208" s="75">
        <f t="shared" si="25"/>
        <v>101935169.57000001</v>
      </c>
      <c r="L208" s="743">
        <f>SUM(L209:L218)</f>
        <v>107581613.86635</v>
      </c>
      <c r="M208" s="771">
        <f>SUM(M209:M218)</f>
        <v>113343004.28399923</v>
      </c>
    </row>
    <row r="209" spans="1:13" ht="13.5" x14ac:dyDescent="0.25">
      <c r="A209" s="760" t="str">
        <f t="shared" si="27"/>
        <v>4.1 - Communications</v>
      </c>
      <c r="B209" s="915"/>
      <c r="C209" s="389">
        <v>14559070.49</v>
      </c>
      <c r="D209" s="109"/>
      <c r="E209" s="109"/>
      <c r="F209" s="109"/>
      <c r="G209" s="109"/>
      <c r="H209" s="109"/>
      <c r="I209" s="109"/>
      <c r="J209" s="75">
        <f t="shared" si="24"/>
        <v>0</v>
      </c>
      <c r="K209" s="75">
        <f t="shared" si="25"/>
        <v>14559070.49</v>
      </c>
      <c r="L209" s="109">
        <v>15359790.821950002</v>
      </c>
      <c r="M209" s="110">
        <v>16204581.772157254</v>
      </c>
    </row>
    <row r="210" spans="1:13" ht="13.5" x14ac:dyDescent="0.25">
      <c r="A210" s="760" t="str">
        <f t="shared" si="27"/>
        <v>4.2 - Public Participation &amp; Project Support</v>
      </c>
      <c r="B210" s="915"/>
      <c r="C210" s="389">
        <v>5052840.99</v>
      </c>
      <c r="D210" s="109"/>
      <c r="E210" s="109"/>
      <c r="F210" s="109"/>
      <c r="G210" s="109"/>
      <c r="H210" s="109"/>
      <c r="I210" s="109">
        <v>-254933</v>
      </c>
      <c r="J210" s="75">
        <f t="shared" si="24"/>
        <v>-254933</v>
      </c>
      <c r="K210" s="75">
        <f t="shared" si="25"/>
        <v>4797907.99</v>
      </c>
      <c r="L210" s="109">
        <v>5329466.4044500003</v>
      </c>
      <c r="M210" s="110">
        <v>5629034.216694749</v>
      </c>
    </row>
    <row r="211" spans="1:13" ht="13.5" x14ac:dyDescent="0.25">
      <c r="A211" s="760" t="str">
        <f t="shared" si="27"/>
        <v>4.8 - Information Technolgy</v>
      </c>
      <c r="B211" s="915"/>
      <c r="C211" s="389">
        <v>15925568</v>
      </c>
      <c r="D211" s="109"/>
      <c r="E211" s="109"/>
      <c r="F211" s="109"/>
      <c r="G211" s="109"/>
      <c r="H211" s="109"/>
      <c r="I211" s="109"/>
      <c r="J211" s="75">
        <f t="shared" si="24"/>
        <v>0</v>
      </c>
      <c r="K211" s="75">
        <f t="shared" si="25"/>
        <v>15925568</v>
      </c>
      <c r="L211" s="109">
        <v>16625907.67</v>
      </c>
      <c r="M211" s="110">
        <v>17507191.021850001</v>
      </c>
    </row>
    <row r="212" spans="1:13" ht="13.5" x14ac:dyDescent="0.25">
      <c r="A212" s="760" t="str">
        <f t="shared" si="27"/>
        <v>4.3 - Administration HR &amp; Corporate</v>
      </c>
      <c r="B212" s="915"/>
      <c r="C212" s="389">
        <v>2326698</v>
      </c>
      <c r="D212" s="109"/>
      <c r="E212" s="109"/>
      <c r="F212" s="109"/>
      <c r="G212" s="109"/>
      <c r="H212" s="109"/>
      <c r="I212" s="109"/>
      <c r="J212" s="75">
        <f t="shared" si="24"/>
        <v>0</v>
      </c>
      <c r="K212" s="75">
        <f t="shared" si="25"/>
        <v>2326698</v>
      </c>
      <c r="L212" s="109">
        <v>2449358.1199999996</v>
      </c>
      <c r="M212" s="110">
        <v>2488604.5466000005</v>
      </c>
    </row>
    <row r="213" spans="1:13" ht="13.5" x14ac:dyDescent="0.25">
      <c r="A213" s="760" t="str">
        <f t="shared" si="27"/>
        <v>4.4 - Human Resources</v>
      </c>
      <c r="B213" s="915"/>
      <c r="C213" s="389">
        <v>14247150</v>
      </c>
      <c r="D213" s="109"/>
      <c r="E213" s="109"/>
      <c r="F213" s="109"/>
      <c r="G213" s="109"/>
      <c r="H213" s="109"/>
      <c r="I213" s="109"/>
      <c r="J213" s="75">
        <f t="shared" si="24"/>
        <v>0</v>
      </c>
      <c r="K213" s="75">
        <f t="shared" si="25"/>
        <v>14247150</v>
      </c>
      <c r="L213" s="109">
        <v>15030577.260000002</v>
      </c>
      <c r="M213" s="110">
        <v>15857271.019300003</v>
      </c>
    </row>
    <row r="214" spans="1:13" ht="13.5" x14ac:dyDescent="0.25">
      <c r="A214" s="760" t="str">
        <f t="shared" si="27"/>
        <v>4.5 - Occupational Health &amp; safety</v>
      </c>
      <c r="B214" s="915"/>
      <c r="C214" s="389">
        <v>335075</v>
      </c>
      <c r="D214" s="109"/>
      <c r="E214" s="109"/>
      <c r="F214" s="109"/>
      <c r="G214" s="109"/>
      <c r="H214" s="109"/>
      <c r="I214" s="109"/>
      <c r="J214" s="75">
        <f t="shared" si="24"/>
        <v>0</v>
      </c>
      <c r="K214" s="75">
        <f t="shared" si="25"/>
        <v>335075</v>
      </c>
      <c r="L214" s="109">
        <v>353504.12500000006</v>
      </c>
      <c r="M214" s="110">
        <v>372946.85187500005</v>
      </c>
    </row>
    <row r="215" spans="1:13" ht="13.5" x14ac:dyDescent="0.25">
      <c r="A215" s="760" t="str">
        <f t="shared" si="27"/>
        <v>4.6 - Corporate Services</v>
      </c>
      <c r="B215" s="915"/>
      <c r="C215" s="389">
        <v>10122808</v>
      </c>
      <c r="D215" s="109"/>
      <c r="E215" s="109"/>
      <c r="F215" s="109"/>
      <c r="G215" s="109"/>
      <c r="H215" s="109"/>
      <c r="I215" s="109"/>
      <c r="J215" s="75">
        <f t="shared" si="24"/>
        <v>0</v>
      </c>
      <c r="K215" s="75">
        <f t="shared" si="25"/>
        <v>10122808</v>
      </c>
      <c r="L215" s="109">
        <v>10633370.140000001</v>
      </c>
      <c r="M215" s="110">
        <v>11172013.197699999</v>
      </c>
    </row>
    <row r="216" spans="1:13" ht="13.5" x14ac:dyDescent="0.25">
      <c r="A216" s="760" t="str">
        <f t="shared" si="27"/>
        <v>4.7 - Council Expenditure</v>
      </c>
      <c r="B216" s="915"/>
      <c r="C216" s="389">
        <v>39620892.090000004</v>
      </c>
      <c r="D216" s="109"/>
      <c r="E216" s="109"/>
      <c r="F216" s="109"/>
      <c r="G216" s="109"/>
      <c r="H216" s="109"/>
      <c r="I216" s="109"/>
      <c r="J216" s="75">
        <f t="shared" si="24"/>
        <v>0</v>
      </c>
      <c r="K216" s="75">
        <f t="shared" si="25"/>
        <v>39620892.090000004</v>
      </c>
      <c r="L216" s="109">
        <v>41799639.324949995</v>
      </c>
      <c r="M216" s="110">
        <v>44111361.657822244</v>
      </c>
    </row>
    <row r="217" spans="1:13" ht="13.5" x14ac:dyDescent="0.25">
      <c r="A217" s="760" t="str">
        <f t="shared" si="27"/>
        <v>4.10 - [Name of sub-vote]</v>
      </c>
      <c r="B217" s="915"/>
      <c r="C217" s="389"/>
      <c r="D217" s="109"/>
      <c r="E217" s="109"/>
      <c r="F217" s="109"/>
      <c r="G217" s="109"/>
      <c r="H217" s="109"/>
      <c r="I217" s="109"/>
      <c r="J217" s="75">
        <f t="shared" si="24"/>
        <v>0</v>
      </c>
      <c r="K217" s="75">
        <f t="shared" si="25"/>
        <v>0</v>
      </c>
      <c r="L217" s="109"/>
      <c r="M217" s="110"/>
    </row>
    <row r="218" spans="1:13" ht="13.5" x14ac:dyDescent="0.25">
      <c r="A218" s="760">
        <f t="shared" si="27"/>
        <v>0</v>
      </c>
      <c r="B218" s="915"/>
      <c r="C218" s="389"/>
      <c r="D218" s="109"/>
      <c r="E218" s="109"/>
      <c r="F218" s="109"/>
      <c r="G218" s="109"/>
      <c r="H218" s="109"/>
      <c r="I218" s="109"/>
      <c r="J218" s="75">
        <f t="shared" si="24"/>
        <v>0</v>
      </c>
      <c r="K218" s="75">
        <f t="shared" si="25"/>
        <v>0</v>
      </c>
      <c r="L218" s="109"/>
      <c r="M218" s="110"/>
    </row>
    <row r="219" spans="1:13" ht="13.5" x14ac:dyDescent="0.25">
      <c r="A219" s="757" t="str">
        <f>A51</f>
        <v>Vote 5 - Community Services</v>
      </c>
      <c r="B219" s="914"/>
      <c r="C219" s="744">
        <f t="shared" ref="C219:I219" si="30">SUM(C220:C229)</f>
        <v>138712416.29999998</v>
      </c>
      <c r="D219" s="743">
        <f t="shared" si="30"/>
        <v>0</v>
      </c>
      <c r="E219" s="743">
        <f t="shared" si="30"/>
        <v>0</v>
      </c>
      <c r="F219" s="743">
        <f t="shared" si="30"/>
        <v>0</v>
      </c>
      <c r="G219" s="743">
        <f t="shared" si="30"/>
        <v>0</v>
      </c>
      <c r="H219" s="743">
        <f t="shared" si="30"/>
        <v>0</v>
      </c>
      <c r="I219" s="743">
        <f t="shared" si="30"/>
        <v>0</v>
      </c>
      <c r="J219" s="75">
        <f t="shared" si="24"/>
        <v>0</v>
      </c>
      <c r="K219" s="75">
        <f t="shared" si="25"/>
        <v>138712416.29999998</v>
      </c>
      <c r="L219" s="743">
        <f>SUM(L220:L229)</f>
        <v>144313472.48150003</v>
      </c>
      <c r="M219" s="771">
        <f>SUM(M220:M229)</f>
        <v>151560193.17298251</v>
      </c>
    </row>
    <row r="220" spans="1:13" ht="13.5" x14ac:dyDescent="0.25">
      <c r="A220" s="760" t="str">
        <f t="shared" ref="A220:A229" si="31">A52</f>
        <v>5.1 - Parks &amp; Recreation</v>
      </c>
      <c r="B220" s="915"/>
      <c r="C220" s="389">
        <v>29826254.670000002</v>
      </c>
      <c r="D220" s="109"/>
      <c r="E220" s="109"/>
      <c r="F220" s="109"/>
      <c r="G220" s="109"/>
      <c r="H220" s="109"/>
      <c r="I220" s="109"/>
      <c r="J220" s="75">
        <f t="shared" si="24"/>
        <v>0</v>
      </c>
      <c r="K220" s="75">
        <f t="shared" si="25"/>
        <v>29826254.670000002</v>
      </c>
      <c r="L220" s="109">
        <v>31386104.911850002</v>
      </c>
      <c r="M220" s="110">
        <v>33149803.917001761</v>
      </c>
    </row>
    <row r="221" spans="1:13" ht="13.5" x14ac:dyDescent="0.25">
      <c r="A221" s="760" t="str">
        <f t="shared" si="31"/>
        <v>5.2 - Administration Community Services</v>
      </c>
      <c r="B221" s="915"/>
      <c r="C221" s="389">
        <v>930994</v>
      </c>
      <c r="D221" s="109"/>
      <c r="E221" s="109"/>
      <c r="F221" s="109"/>
      <c r="G221" s="109"/>
      <c r="H221" s="109"/>
      <c r="I221" s="109"/>
      <c r="J221" s="75">
        <f t="shared" si="24"/>
        <v>0</v>
      </c>
      <c r="K221" s="75">
        <f t="shared" si="25"/>
        <v>930994</v>
      </c>
      <c r="L221" s="109">
        <v>4932237.0250000004</v>
      </c>
      <c r="M221" s="110">
        <v>4377405.836375</v>
      </c>
    </row>
    <row r="222" spans="1:13" ht="13.5" x14ac:dyDescent="0.25">
      <c r="A222" s="760" t="str">
        <f t="shared" si="31"/>
        <v>5.3 - Community Health Services</v>
      </c>
      <c r="B222" s="915"/>
      <c r="C222" s="389">
        <v>227762</v>
      </c>
      <c r="D222" s="109"/>
      <c r="E222" s="109"/>
      <c r="F222" s="109"/>
      <c r="G222" s="109"/>
      <c r="H222" s="109"/>
      <c r="I222" s="109"/>
      <c r="J222" s="75">
        <f t="shared" si="24"/>
        <v>0</v>
      </c>
      <c r="K222" s="75">
        <f t="shared" si="25"/>
        <v>227762</v>
      </c>
      <c r="L222" s="109">
        <v>237268.53000000003</v>
      </c>
      <c r="M222" s="110">
        <v>250537.91915</v>
      </c>
    </row>
    <row r="223" spans="1:13" ht="13.5" x14ac:dyDescent="0.25">
      <c r="A223" s="760" t="str">
        <f t="shared" si="31"/>
        <v>5.4 - Enviromental Health Services</v>
      </c>
      <c r="B223" s="915"/>
      <c r="C223" s="389">
        <v>11882723</v>
      </c>
      <c r="D223" s="109"/>
      <c r="E223" s="109"/>
      <c r="F223" s="109"/>
      <c r="G223" s="109"/>
      <c r="H223" s="109"/>
      <c r="I223" s="109"/>
      <c r="J223" s="75">
        <f t="shared" si="24"/>
        <v>0</v>
      </c>
      <c r="K223" s="75">
        <f t="shared" si="25"/>
        <v>11882723</v>
      </c>
      <c r="L223" s="109">
        <v>12512396.714999998</v>
      </c>
      <c r="M223" s="110">
        <v>13202314.484325003</v>
      </c>
    </row>
    <row r="224" spans="1:13" ht="13.5" x14ac:dyDescent="0.25">
      <c r="A224" s="760" t="str">
        <f t="shared" si="31"/>
        <v>5.5 - Library Services</v>
      </c>
      <c r="B224" s="915"/>
      <c r="C224" s="389">
        <v>9357290</v>
      </c>
      <c r="D224" s="109"/>
      <c r="E224" s="109"/>
      <c r="F224" s="109"/>
      <c r="G224" s="109"/>
      <c r="H224" s="109"/>
      <c r="I224" s="109"/>
      <c r="J224" s="75">
        <f t="shared" si="24"/>
        <v>0</v>
      </c>
      <c r="K224" s="75">
        <f t="shared" si="25"/>
        <v>9357290</v>
      </c>
      <c r="L224" s="109">
        <v>9864435.1000000015</v>
      </c>
      <c r="M224" s="110">
        <v>10407525.180500001</v>
      </c>
    </row>
    <row r="225" spans="1:13" ht="13.5" x14ac:dyDescent="0.25">
      <c r="A225" s="760" t="str">
        <f t="shared" si="31"/>
        <v>5.6 - Solid Waste</v>
      </c>
      <c r="B225" s="915"/>
      <c r="C225" s="389">
        <v>54123956.579999998</v>
      </c>
      <c r="D225" s="109"/>
      <c r="E225" s="109"/>
      <c r="F225" s="109"/>
      <c r="G225" s="109"/>
      <c r="H225" s="109"/>
      <c r="I225" s="109"/>
      <c r="J225" s="75">
        <f t="shared" si="24"/>
        <v>0</v>
      </c>
      <c r="K225" s="75">
        <f t="shared" si="25"/>
        <v>54123956.579999998</v>
      </c>
      <c r="L225" s="109">
        <v>51240190.111900002</v>
      </c>
      <c r="M225" s="110">
        <v>54010866.488054484</v>
      </c>
    </row>
    <row r="226" spans="1:13" ht="13.5" x14ac:dyDescent="0.25">
      <c r="A226" s="760" t="str">
        <f t="shared" si="31"/>
        <v>5.7 - Street Cleansing</v>
      </c>
      <c r="B226" s="915"/>
      <c r="C226" s="389">
        <v>25928498.789999999</v>
      </c>
      <c r="D226" s="109"/>
      <c r="E226" s="109"/>
      <c r="F226" s="109"/>
      <c r="G226" s="109"/>
      <c r="H226" s="109"/>
      <c r="I226" s="109"/>
      <c r="J226" s="75">
        <f t="shared" si="24"/>
        <v>0</v>
      </c>
      <c r="K226" s="75">
        <f t="shared" si="25"/>
        <v>25928498.789999999</v>
      </c>
      <c r="L226" s="109">
        <v>27354566.223449998</v>
      </c>
      <c r="M226" s="110">
        <v>28859067.365739748</v>
      </c>
    </row>
    <row r="227" spans="1:13" ht="13.5" x14ac:dyDescent="0.25">
      <c r="A227" s="760" t="str">
        <f t="shared" si="31"/>
        <v>5.8 - Public Toilets</v>
      </c>
      <c r="B227" s="915"/>
      <c r="C227" s="389">
        <v>6434937.2599999998</v>
      </c>
      <c r="D227" s="109"/>
      <c r="E227" s="109"/>
      <c r="F227" s="109"/>
      <c r="G227" s="109"/>
      <c r="H227" s="109"/>
      <c r="I227" s="109"/>
      <c r="J227" s="75">
        <f t="shared" si="24"/>
        <v>0</v>
      </c>
      <c r="K227" s="75">
        <f t="shared" si="25"/>
        <v>6434937.2599999998</v>
      </c>
      <c r="L227" s="109">
        <v>6786273.8642999995</v>
      </c>
      <c r="M227" s="110">
        <v>7302671.9818365006</v>
      </c>
    </row>
    <row r="228" spans="1:13" ht="13.5" x14ac:dyDescent="0.25">
      <c r="A228" s="760">
        <f t="shared" si="31"/>
        <v>0</v>
      </c>
      <c r="B228" s="915"/>
      <c r="C228" s="389"/>
      <c r="D228" s="109"/>
      <c r="E228" s="109"/>
      <c r="F228" s="109"/>
      <c r="G228" s="109"/>
      <c r="H228" s="109"/>
      <c r="I228" s="109"/>
      <c r="J228" s="75">
        <f t="shared" si="24"/>
        <v>0</v>
      </c>
      <c r="K228" s="75">
        <f t="shared" si="25"/>
        <v>0</v>
      </c>
      <c r="L228" s="109"/>
      <c r="M228" s="110"/>
    </row>
    <row r="229" spans="1:13" ht="13.5" x14ac:dyDescent="0.25">
      <c r="A229" s="760">
        <f t="shared" si="31"/>
        <v>0</v>
      </c>
      <c r="B229" s="915"/>
      <c r="C229" s="389"/>
      <c r="D229" s="109"/>
      <c r="E229" s="109"/>
      <c r="F229" s="109"/>
      <c r="G229" s="109"/>
      <c r="H229" s="109"/>
      <c r="I229" s="109"/>
      <c r="J229" s="75">
        <f t="shared" si="24"/>
        <v>0</v>
      </c>
      <c r="K229" s="75">
        <f t="shared" si="25"/>
        <v>0</v>
      </c>
      <c r="L229" s="109"/>
      <c r="M229" s="110"/>
    </row>
    <row r="230" spans="1:13" ht="13.5" x14ac:dyDescent="0.25">
      <c r="A230" s="757" t="str">
        <f>A62</f>
        <v>Vote 6 - Community Services</v>
      </c>
      <c r="B230" s="914"/>
      <c r="C230" s="744">
        <f t="shared" ref="C230:I230" si="32">SUM(C231:C240)</f>
        <v>77703752</v>
      </c>
      <c r="D230" s="743">
        <f t="shared" si="32"/>
        <v>0</v>
      </c>
      <c r="E230" s="743">
        <f t="shared" si="32"/>
        <v>0</v>
      </c>
      <c r="F230" s="743">
        <f t="shared" si="32"/>
        <v>0</v>
      </c>
      <c r="G230" s="743">
        <f t="shared" si="32"/>
        <v>0</v>
      </c>
      <c r="H230" s="743">
        <f t="shared" si="32"/>
        <v>0</v>
      </c>
      <c r="I230" s="743">
        <f t="shared" si="32"/>
        <v>3000000</v>
      </c>
      <c r="J230" s="75">
        <f t="shared" si="24"/>
        <v>3000000</v>
      </c>
      <c r="K230" s="75">
        <f t="shared" si="25"/>
        <v>80703752</v>
      </c>
      <c r="L230" s="743">
        <f>SUM(L231:L240)</f>
        <v>81884170.550000012</v>
      </c>
      <c r="M230" s="771">
        <f>SUM(M231:M240)</f>
        <v>86385059.120250002</v>
      </c>
    </row>
    <row r="231" spans="1:13" ht="13.5" x14ac:dyDescent="0.25">
      <c r="A231" s="760" t="str">
        <f t="shared" ref="A231:A240" si="33">A63</f>
        <v>6.2 - Administration Transport,safety,Security</v>
      </c>
      <c r="B231" s="915"/>
      <c r="C231" s="389">
        <v>7110318</v>
      </c>
      <c r="D231" s="109"/>
      <c r="E231" s="109"/>
      <c r="F231" s="109"/>
      <c r="G231" s="109"/>
      <c r="H231" s="109"/>
      <c r="I231" s="109">
        <v>3000000</v>
      </c>
      <c r="J231" s="75">
        <f t="shared" si="24"/>
        <v>3000000</v>
      </c>
      <c r="K231" s="75">
        <f t="shared" si="25"/>
        <v>10110318</v>
      </c>
      <c r="L231" s="109">
        <v>7501385.4899999993</v>
      </c>
      <c r="M231" s="110">
        <v>7913961.691949999</v>
      </c>
    </row>
    <row r="232" spans="1:13" ht="13.5" x14ac:dyDescent="0.25">
      <c r="A232" s="760" t="str">
        <f t="shared" si="33"/>
        <v>6.3 - Vehicle licencing</v>
      </c>
      <c r="B232" s="915"/>
      <c r="C232" s="389">
        <v>42568186</v>
      </c>
      <c r="D232" s="109"/>
      <c r="E232" s="109"/>
      <c r="F232" s="109"/>
      <c r="G232" s="109"/>
      <c r="H232" s="109"/>
      <c r="I232" s="109"/>
      <c r="J232" s="75">
        <f t="shared" si="24"/>
        <v>0</v>
      </c>
      <c r="K232" s="75">
        <f t="shared" si="25"/>
        <v>42568186</v>
      </c>
      <c r="L232" s="109">
        <v>44907980.380000003</v>
      </c>
      <c r="M232" s="110">
        <v>47490279.450900003</v>
      </c>
    </row>
    <row r="233" spans="1:13" ht="13.5" x14ac:dyDescent="0.25">
      <c r="A233" s="760" t="str">
        <f t="shared" si="33"/>
        <v>6.1 - Traffic services</v>
      </c>
      <c r="B233" s="915"/>
      <c r="C233" s="389">
        <v>28025248</v>
      </c>
      <c r="D233" s="109"/>
      <c r="E233" s="109"/>
      <c r="F233" s="109"/>
      <c r="G233" s="109"/>
      <c r="H233" s="109"/>
      <c r="I233" s="109"/>
      <c r="J233" s="75">
        <f t="shared" si="24"/>
        <v>0</v>
      </c>
      <c r="K233" s="75">
        <f t="shared" si="25"/>
        <v>28025248</v>
      </c>
      <c r="L233" s="109">
        <v>29474804.68</v>
      </c>
      <c r="M233" s="110">
        <v>30980817.977400001</v>
      </c>
    </row>
    <row r="234" spans="1:13" ht="13.5" x14ac:dyDescent="0.25">
      <c r="A234" s="760">
        <f t="shared" si="33"/>
        <v>0</v>
      </c>
      <c r="B234" s="915"/>
      <c r="C234" s="389"/>
      <c r="D234" s="109"/>
      <c r="E234" s="109"/>
      <c r="F234" s="109"/>
      <c r="G234" s="109"/>
      <c r="H234" s="109"/>
      <c r="I234" s="109"/>
      <c r="J234" s="75">
        <f t="shared" si="24"/>
        <v>0</v>
      </c>
      <c r="K234" s="75">
        <f t="shared" si="25"/>
        <v>0</v>
      </c>
      <c r="L234" s="109"/>
      <c r="M234" s="110"/>
    </row>
    <row r="235" spans="1:13" ht="13.5" x14ac:dyDescent="0.25">
      <c r="A235" s="760">
        <f t="shared" si="33"/>
        <v>0</v>
      </c>
      <c r="B235" s="915"/>
      <c r="C235" s="389"/>
      <c r="D235" s="109"/>
      <c r="E235" s="109"/>
      <c r="F235" s="109"/>
      <c r="G235" s="109"/>
      <c r="H235" s="109"/>
      <c r="I235" s="109"/>
      <c r="J235" s="75">
        <f t="shared" si="24"/>
        <v>0</v>
      </c>
      <c r="K235" s="75">
        <f t="shared" si="25"/>
        <v>0</v>
      </c>
      <c r="L235" s="109"/>
      <c r="M235" s="110"/>
    </row>
    <row r="236" spans="1:13" ht="13.5" x14ac:dyDescent="0.25">
      <c r="A236" s="760">
        <f t="shared" si="33"/>
        <v>0</v>
      </c>
      <c r="B236" s="915"/>
      <c r="C236" s="389"/>
      <c r="D236" s="109"/>
      <c r="E236" s="109"/>
      <c r="F236" s="109"/>
      <c r="G236" s="109"/>
      <c r="H236" s="109"/>
      <c r="I236" s="109"/>
      <c r="J236" s="75">
        <f t="shared" si="24"/>
        <v>0</v>
      </c>
      <c r="K236" s="75">
        <f t="shared" si="25"/>
        <v>0</v>
      </c>
      <c r="L236" s="109"/>
      <c r="M236" s="110"/>
    </row>
    <row r="237" spans="1:13" ht="13.5" x14ac:dyDescent="0.25">
      <c r="A237" s="760">
        <f t="shared" si="33"/>
        <v>0</v>
      </c>
      <c r="B237" s="915"/>
      <c r="C237" s="389"/>
      <c r="D237" s="109"/>
      <c r="E237" s="109"/>
      <c r="F237" s="109"/>
      <c r="G237" s="109"/>
      <c r="H237" s="109"/>
      <c r="I237" s="109"/>
      <c r="J237" s="75">
        <f t="shared" si="24"/>
        <v>0</v>
      </c>
      <c r="K237" s="75">
        <f t="shared" si="25"/>
        <v>0</v>
      </c>
      <c r="L237" s="109"/>
      <c r="M237" s="110"/>
    </row>
    <row r="238" spans="1:13" ht="13.5" x14ac:dyDescent="0.25">
      <c r="A238" s="760">
        <f t="shared" si="33"/>
        <v>0</v>
      </c>
      <c r="B238" s="915"/>
      <c r="C238" s="389"/>
      <c r="D238" s="109"/>
      <c r="E238" s="109"/>
      <c r="F238" s="109"/>
      <c r="G238" s="109"/>
      <c r="H238" s="109"/>
      <c r="I238" s="109"/>
      <c r="J238" s="75">
        <f t="shared" si="24"/>
        <v>0</v>
      </c>
      <c r="K238" s="75">
        <f t="shared" si="25"/>
        <v>0</v>
      </c>
      <c r="L238" s="109"/>
      <c r="M238" s="110"/>
    </row>
    <row r="239" spans="1:13" ht="13.5" x14ac:dyDescent="0.25">
      <c r="A239" s="760">
        <f t="shared" si="33"/>
        <v>0</v>
      </c>
      <c r="B239" s="915"/>
      <c r="C239" s="389"/>
      <c r="D239" s="109"/>
      <c r="E239" s="109"/>
      <c r="F239" s="109"/>
      <c r="G239" s="109"/>
      <c r="H239" s="109"/>
      <c r="I239" s="109"/>
      <c r="J239" s="75">
        <f t="shared" si="24"/>
        <v>0</v>
      </c>
      <c r="K239" s="75">
        <f t="shared" si="25"/>
        <v>0</v>
      </c>
      <c r="L239" s="109"/>
      <c r="M239" s="110"/>
    </row>
    <row r="240" spans="1:13" ht="13.5" x14ac:dyDescent="0.25">
      <c r="A240" s="760">
        <f t="shared" si="33"/>
        <v>0</v>
      </c>
      <c r="B240" s="915"/>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7" t="str">
        <f>A73</f>
        <v>Vote 7 - Electrical Engineering Services</v>
      </c>
      <c r="B241" s="914"/>
      <c r="C241" s="744">
        <f t="shared" ref="C241:I241" si="36">SUM(C242:C251)</f>
        <v>506151608.48000002</v>
      </c>
      <c r="D241" s="743">
        <f t="shared" si="36"/>
        <v>0</v>
      </c>
      <c r="E241" s="743">
        <f t="shared" si="36"/>
        <v>0</v>
      </c>
      <c r="F241" s="743">
        <f t="shared" si="36"/>
        <v>0</v>
      </c>
      <c r="G241" s="743">
        <f t="shared" si="36"/>
        <v>0</v>
      </c>
      <c r="H241" s="743">
        <f t="shared" si="36"/>
        <v>0</v>
      </c>
      <c r="I241" s="743">
        <f t="shared" si="36"/>
        <v>4406872</v>
      </c>
      <c r="J241" s="75">
        <f t="shared" si="34"/>
        <v>4406872</v>
      </c>
      <c r="K241" s="75">
        <f t="shared" si="35"/>
        <v>510558480.48000002</v>
      </c>
      <c r="L241" s="743">
        <f>SUM(L242:L251)</f>
        <v>531191520.11140019</v>
      </c>
      <c r="M241" s="771">
        <f>SUM(M242:M251)</f>
        <v>557508799.13252699</v>
      </c>
    </row>
    <row r="242" spans="1:13" ht="13.5" x14ac:dyDescent="0.25">
      <c r="A242" s="760" t="str">
        <f t="shared" ref="A242:A251" si="37">A74</f>
        <v>7.1 - Administration Electrical Engineering</v>
      </c>
      <c r="B242" s="915"/>
      <c r="C242" s="389">
        <v>38117264</v>
      </c>
      <c r="D242" s="109"/>
      <c r="E242" s="109"/>
      <c r="F242" s="109"/>
      <c r="G242" s="109"/>
      <c r="H242" s="109"/>
      <c r="I242" s="109"/>
      <c r="J242" s="75">
        <f t="shared" si="34"/>
        <v>0</v>
      </c>
      <c r="K242" s="75">
        <f t="shared" si="35"/>
        <v>38117264</v>
      </c>
      <c r="L242" s="109">
        <v>38497319.555</v>
      </c>
      <c r="M242" s="110">
        <v>40191872.165525004</v>
      </c>
    </row>
    <row r="243" spans="1:13" ht="13.5" x14ac:dyDescent="0.25">
      <c r="A243" s="760" t="str">
        <f t="shared" si="37"/>
        <v>7.2 - Operations &amp; Maintenance: Rural</v>
      </c>
      <c r="B243" s="915"/>
      <c r="C243" s="389">
        <v>346592512.84000003</v>
      </c>
      <c r="D243" s="109"/>
      <c r="E243" s="109"/>
      <c r="F243" s="109"/>
      <c r="G243" s="109"/>
      <c r="H243" s="109"/>
      <c r="I243" s="109">
        <v>3000000</v>
      </c>
      <c r="J243" s="75">
        <f t="shared" si="34"/>
        <v>3000000</v>
      </c>
      <c r="K243" s="75">
        <f t="shared" si="35"/>
        <v>349592512.84000003</v>
      </c>
      <c r="L243" s="109">
        <v>363422476.48120016</v>
      </c>
      <c r="M243" s="110">
        <v>378228868.12266594</v>
      </c>
    </row>
    <row r="244" spans="1:13" ht="13.5" x14ac:dyDescent="0.25">
      <c r="A244" s="760" t="str">
        <f t="shared" si="37"/>
        <v>7.3 - Operations &amp; Maintenance: Town</v>
      </c>
      <c r="B244" s="915"/>
      <c r="C244" s="389">
        <v>121441831.64</v>
      </c>
      <c r="D244" s="109"/>
      <c r="E244" s="109"/>
      <c r="F244" s="109"/>
      <c r="G244" s="109"/>
      <c r="H244" s="109"/>
      <c r="I244" s="109">
        <f>200000+1206872</f>
        <v>1406872</v>
      </c>
      <c r="J244" s="75">
        <f t="shared" si="34"/>
        <v>1406872</v>
      </c>
      <c r="K244" s="75">
        <f t="shared" si="35"/>
        <v>122848703.64</v>
      </c>
      <c r="L244" s="109">
        <f>127998474.0752+1273250</f>
        <v>129271724.07520001</v>
      </c>
      <c r="M244" s="110">
        <f>137744779.844336+1343279</f>
        <v>139088058.844336</v>
      </c>
    </row>
    <row r="245" spans="1:13" ht="13.5" x14ac:dyDescent="0.25">
      <c r="A245" s="760">
        <f t="shared" si="37"/>
        <v>0</v>
      </c>
      <c r="B245" s="915"/>
      <c r="C245" s="389"/>
      <c r="D245" s="109"/>
      <c r="E245" s="109"/>
      <c r="F245" s="109"/>
      <c r="G245" s="109"/>
      <c r="H245" s="109"/>
      <c r="I245" s="109"/>
      <c r="J245" s="75">
        <f t="shared" si="34"/>
        <v>0</v>
      </c>
      <c r="K245" s="75">
        <f t="shared" si="35"/>
        <v>0</v>
      </c>
      <c r="L245" s="109"/>
      <c r="M245" s="110"/>
    </row>
    <row r="246" spans="1:13" ht="13.5" x14ac:dyDescent="0.25">
      <c r="A246" s="760">
        <f t="shared" si="37"/>
        <v>0</v>
      </c>
      <c r="B246" s="915"/>
      <c r="C246" s="389"/>
      <c r="D246" s="109"/>
      <c r="E246" s="109"/>
      <c r="F246" s="109"/>
      <c r="G246" s="109"/>
      <c r="H246" s="109"/>
      <c r="I246" s="109"/>
      <c r="J246" s="75">
        <f t="shared" si="34"/>
        <v>0</v>
      </c>
      <c r="K246" s="75">
        <f t="shared" si="35"/>
        <v>0</v>
      </c>
      <c r="L246" s="109"/>
      <c r="M246" s="110"/>
    </row>
    <row r="247" spans="1:13" ht="13.5" x14ac:dyDescent="0.25">
      <c r="A247" s="760">
        <f t="shared" si="37"/>
        <v>0</v>
      </c>
      <c r="B247" s="915"/>
      <c r="C247" s="389"/>
      <c r="D247" s="109"/>
      <c r="E247" s="109"/>
      <c r="F247" s="109"/>
      <c r="G247" s="109"/>
      <c r="H247" s="109"/>
      <c r="I247" s="109"/>
      <c r="J247" s="75">
        <f t="shared" si="34"/>
        <v>0</v>
      </c>
      <c r="K247" s="75">
        <f t="shared" si="35"/>
        <v>0</v>
      </c>
      <c r="L247" s="109"/>
      <c r="M247" s="110"/>
    </row>
    <row r="248" spans="1:13" ht="13.5" x14ac:dyDescent="0.25">
      <c r="A248" s="760">
        <f t="shared" si="37"/>
        <v>0</v>
      </c>
      <c r="B248" s="915"/>
      <c r="C248" s="389"/>
      <c r="D248" s="109"/>
      <c r="E248" s="109"/>
      <c r="F248" s="109"/>
      <c r="G248" s="109"/>
      <c r="H248" s="109"/>
      <c r="I248" s="109"/>
      <c r="J248" s="75">
        <f t="shared" si="34"/>
        <v>0</v>
      </c>
      <c r="K248" s="75">
        <f t="shared" si="35"/>
        <v>0</v>
      </c>
      <c r="L248" s="109"/>
      <c r="M248" s="110"/>
    </row>
    <row r="249" spans="1:13" ht="13.5" x14ac:dyDescent="0.25">
      <c r="A249" s="760">
        <f t="shared" si="37"/>
        <v>0</v>
      </c>
      <c r="B249" s="915"/>
      <c r="C249" s="389"/>
      <c r="D249" s="109"/>
      <c r="E249" s="109"/>
      <c r="F249" s="109"/>
      <c r="G249" s="109"/>
      <c r="H249" s="109"/>
      <c r="I249" s="109"/>
      <c r="J249" s="75">
        <f t="shared" si="34"/>
        <v>0</v>
      </c>
      <c r="K249" s="75">
        <f t="shared" si="35"/>
        <v>0</v>
      </c>
      <c r="L249" s="109"/>
      <c r="M249" s="110"/>
    </row>
    <row r="250" spans="1:13" ht="13.5" x14ac:dyDescent="0.25">
      <c r="A250" s="760">
        <f t="shared" si="37"/>
        <v>0</v>
      </c>
      <c r="B250" s="915"/>
      <c r="C250" s="389"/>
      <c r="D250" s="109"/>
      <c r="E250" s="109"/>
      <c r="F250" s="109"/>
      <c r="G250" s="109"/>
      <c r="H250" s="109"/>
      <c r="I250" s="109"/>
      <c r="J250" s="75">
        <f t="shared" si="34"/>
        <v>0</v>
      </c>
      <c r="K250" s="75">
        <f t="shared" si="35"/>
        <v>0</v>
      </c>
      <c r="L250" s="109"/>
      <c r="M250" s="110"/>
    </row>
    <row r="251" spans="1:13" ht="13.5" x14ac:dyDescent="0.25">
      <c r="A251" s="760">
        <f t="shared" si="37"/>
        <v>0</v>
      </c>
      <c r="B251" s="915"/>
      <c r="C251" s="389"/>
      <c r="D251" s="109"/>
      <c r="E251" s="109"/>
      <c r="F251" s="109"/>
      <c r="G251" s="109"/>
      <c r="H251" s="109"/>
      <c r="I251" s="109"/>
      <c r="J251" s="75">
        <f t="shared" si="34"/>
        <v>0</v>
      </c>
      <c r="K251" s="75">
        <f t="shared" si="35"/>
        <v>0</v>
      </c>
      <c r="L251" s="109"/>
      <c r="M251" s="110"/>
    </row>
    <row r="252" spans="1:13" ht="13.5" x14ac:dyDescent="0.25">
      <c r="A252" s="757" t="str">
        <f>A84</f>
        <v>Vote 8 - Engineering Services</v>
      </c>
      <c r="B252" s="915"/>
      <c r="C252" s="744">
        <f t="shared" ref="C252:I252" si="38">SUM(C253:C262)</f>
        <v>174347970.25</v>
      </c>
      <c r="D252" s="743">
        <f t="shared" si="38"/>
        <v>0</v>
      </c>
      <c r="E252" s="743">
        <f t="shared" si="38"/>
        <v>0</v>
      </c>
      <c r="F252" s="743">
        <f t="shared" si="38"/>
        <v>0</v>
      </c>
      <c r="G252" s="743">
        <f t="shared" si="38"/>
        <v>0</v>
      </c>
      <c r="H252" s="743">
        <f t="shared" si="38"/>
        <v>0</v>
      </c>
      <c r="I252" s="743">
        <f t="shared" si="38"/>
        <v>5724522</v>
      </c>
      <c r="J252" s="75">
        <f t="shared" si="34"/>
        <v>5724522</v>
      </c>
      <c r="K252" s="75">
        <f t="shared" si="35"/>
        <v>180072492.25</v>
      </c>
      <c r="L252" s="743">
        <f>SUM(L253:L262)</f>
        <v>182993402.29255003</v>
      </c>
      <c r="M252" s="771">
        <f>SUM(M253:M262)</f>
        <v>188509892.22364023</v>
      </c>
    </row>
    <row r="253" spans="1:13" ht="13.5" x14ac:dyDescent="0.25">
      <c r="A253" s="760" t="str">
        <f t="shared" ref="A253:A273" si="39">A85</f>
        <v>8.1 - Fleet Management</v>
      </c>
      <c r="B253" s="915"/>
      <c r="C253" s="389">
        <v>7108457</v>
      </c>
      <c r="D253" s="109"/>
      <c r="E253" s="109"/>
      <c r="F253" s="109"/>
      <c r="G253" s="109"/>
      <c r="H253" s="109"/>
      <c r="I253" s="109">
        <v>4574835</v>
      </c>
      <c r="J253" s="75">
        <f t="shared" si="34"/>
        <v>4574835</v>
      </c>
      <c r="K253" s="75">
        <f t="shared" si="35"/>
        <v>11683292</v>
      </c>
      <c r="L253" s="109">
        <f>6879197.09879999+4826451</f>
        <v>11705648.098799989</v>
      </c>
      <c r="M253" s="110">
        <f>7433513.559234+5091906</f>
        <v>12525419.559234001</v>
      </c>
    </row>
    <row r="254" spans="1:13" ht="13.5" x14ac:dyDescent="0.25">
      <c r="A254" s="760" t="str">
        <f t="shared" si="39"/>
        <v>8.2 - Administration Civil Engineering</v>
      </c>
      <c r="B254" s="915"/>
      <c r="C254" s="389">
        <v>5856736</v>
      </c>
      <c r="D254" s="109"/>
      <c r="E254" s="109"/>
      <c r="F254" s="109"/>
      <c r="G254" s="109"/>
      <c r="H254" s="109"/>
      <c r="I254" s="109"/>
      <c r="J254" s="75">
        <f t="shared" si="34"/>
        <v>0</v>
      </c>
      <c r="K254" s="75">
        <f t="shared" si="35"/>
        <v>5856736</v>
      </c>
      <c r="L254" s="109">
        <v>6036623.9500000011</v>
      </c>
      <c r="M254" s="110">
        <v>6399002.7372499993</v>
      </c>
    </row>
    <row r="255" spans="1:13" ht="13.5" x14ac:dyDescent="0.25">
      <c r="A255" s="760" t="str">
        <f t="shared" si="39"/>
        <v>8.3 - Roads &amp; stormwater Management</v>
      </c>
      <c r="B255" s="915"/>
      <c r="C255" s="389">
        <v>138381736.92000002</v>
      </c>
      <c r="D255" s="109"/>
      <c r="E255" s="109"/>
      <c r="F255" s="109"/>
      <c r="G255" s="109"/>
      <c r="H255" s="109"/>
      <c r="I255" s="109">
        <v>849687</v>
      </c>
      <c r="J255" s="75">
        <f t="shared" si="34"/>
        <v>849687</v>
      </c>
      <c r="K255" s="75">
        <f t="shared" si="35"/>
        <v>139231423.92000002</v>
      </c>
      <c r="L255" s="109">
        <v>141287775.65060002</v>
      </c>
      <c r="M255" s="110">
        <v>144345140.78638297</v>
      </c>
    </row>
    <row r="256" spans="1:13" ht="13.5" x14ac:dyDescent="0.25">
      <c r="A256" s="760" t="str">
        <f t="shared" si="39"/>
        <v>8.4 - Water Networks</v>
      </c>
      <c r="B256" s="915"/>
      <c r="C256" s="389"/>
      <c r="D256" s="109"/>
      <c r="E256" s="109"/>
      <c r="F256" s="109"/>
      <c r="G256" s="109"/>
      <c r="H256" s="109"/>
      <c r="I256" s="109"/>
      <c r="J256" s="75">
        <f t="shared" si="34"/>
        <v>0</v>
      </c>
      <c r="K256" s="75">
        <f t="shared" si="35"/>
        <v>0</v>
      </c>
      <c r="L256" s="109"/>
      <c r="M256" s="110"/>
    </row>
    <row r="257" spans="1:13" ht="13.5" x14ac:dyDescent="0.25">
      <c r="A257" s="760" t="str">
        <f t="shared" si="39"/>
        <v>8.5 - Water Purification</v>
      </c>
      <c r="B257" s="915"/>
      <c r="C257" s="389"/>
      <c r="D257" s="109"/>
      <c r="E257" s="109"/>
      <c r="F257" s="109"/>
      <c r="G257" s="109"/>
      <c r="H257" s="109"/>
      <c r="I257" s="109"/>
      <c r="J257" s="75">
        <f t="shared" si="34"/>
        <v>0</v>
      </c>
      <c r="K257" s="75">
        <f t="shared" si="35"/>
        <v>0</v>
      </c>
      <c r="L257" s="109"/>
      <c r="M257" s="110"/>
    </row>
    <row r="258" spans="1:13" ht="13.5" x14ac:dyDescent="0.25">
      <c r="A258" s="760" t="str">
        <f t="shared" si="39"/>
        <v>8.6 - Building &amp; Housing</v>
      </c>
      <c r="B258" s="915"/>
      <c r="C258" s="389">
        <v>18497726.329999998</v>
      </c>
      <c r="D258" s="109"/>
      <c r="E258" s="109"/>
      <c r="F258" s="109"/>
      <c r="G258" s="109"/>
      <c r="H258" s="109"/>
      <c r="I258" s="109">
        <v>300000</v>
      </c>
      <c r="J258" s="75">
        <f t="shared" si="34"/>
        <v>300000</v>
      </c>
      <c r="K258" s="75">
        <f t="shared" si="35"/>
        <v>18797726.329999998</v>
      </c>
      <c r="L258" s="109">
        <v>19368824.323150001</v>
      </c>
      <c r="M258" s="110">
        <v>20382973.705923256</v>
      </c>
    </row>
    <row r="259" spans="1:13" ht="13.5" x14ac:dyDescent="0.25">
      <c r="A259" s="760" t="str">
        <f t="shared" si="39"/>
        <v>8.7 - Project Management</v>
      </c>
      <c r="B259" s="915"/>
      <c r="C259" s="389">
        <v>4503314</v>
      </c>
      <c r="D259" s="109"/>
      <c r="E259" s="109"/>
      <c r="F259" s="109"/>
      <c r="G259" s="109"/>
      <c r="H259" s="109"/>
      <c r="I259" s="109"/>
      <c r="J259" s="75">
        <f t="shared" si="34"/>
        <v>0</v>
      </c>
      <c r="K259" s="75">
        <f t="shared" si="35"/>
        <v>4503314</v>
      </c>
      <c r="L259" s="109">
        <v>4594530.2699999986</v>
      </c>
      <c r="M259" s="110">
        <v>4857355.4348499998</v>
      </c>
    </row>
    <row r="260" spans="1:13" ht="13.5" x14ac:dyDescent="0.25">
      <c r="A260" s="760" t="str">
        <f t="shared" si="39"/>
        <v>8.8 - Sewerage Purification</v>
      </c>
      <c r="B260" s="915"/>
      <c r="C260" s="389"/>
      <c r="D260" s="109"/>
      <c r="E260" s="109"/>
      <c r="F260" s="109"/>
      <c r="G260" s="109"/>
      <c r="H260" s="109"/>
      <c r="I260" s="109"/>
      <c r="J260" s="75">
        <f t="shared" si="34"/>
        <v>0</v>
      </c>
      <c r="K260" s="75">
        <f t="shared" si="35"/>
        <v>0</v>
      </c>
      <c r="L260" s="109"/>
      <c r="M260" s="110"/>
    </row>
    <row r="261" spans="1:13" ht="13.5" x14ac:dyDescent="0.25">
      <c r="A261" s="760">
        <f t="shared" si="39"/>
        <v>0</v>
      </c>
      <c r="B261" s="915"/>
      <c r="C261" s="389"/>
      <c r="D261" s="109"/>
      <c r="E261" s="109"/>
      <c r="F261" s="109"/>
      <c r="G261" s="109"/>
      <c r="H261" s="109"/>
      <c r="I261" s="109"/>
      <c r="J261" s="75">
        <f t="shared" si="34"/>
        <v>0</v>
      </c>
      <c r="K261" s="75">
        <f t="shared" si="35"/>
        <v>0</v>
      </c>
      <c r="L261" s="109"/>
      <c r="M261" s="110"/>
    </row>
    <row r="262" spans="1:13" ht="13.5" x14ac:dyDescent="0.25">
      <c r="A262" s="760">
        <f t="shared" si="39"/>
        <v>0</v>
      </c>
      <c r="B262" s="915"/>
      <c r="C262" s="389"/>
      <c r="D262" s="109"/>
      <c r="E262" s="109"/>
      <c r="F262" s="109"/>
      <c r="G262" s="109"/>
      <c r="H262" s="109"/>
      <c r="I262" s="109"/>
      <c r="J262" s="75">
        <f t="shared" si="34"/>
        <v>0</v>
      </c>
      <c r="K262" s="75">
        <f t="shared" si="35"/>
        <v>0</v>
      </c>
      <c r="L262" s="109"/>
      <c r="M262" s="110"/>
    </row>
    <row r="263" spans="1:13" ht="13.5" x14ac:dyDescent="0.25">
      <c r="A263" s="757" t="str">
        <f t="shared" si="39"/>
        <v>Vote 9 - [NAME OF VOTE 9]</v>
      </c>
      <c r="B263" s="915"/>
      <c r="C263" s="744">
        <f t="shared" ref="C263:I263" si="40">SUM(C264:C273)</f>
        <v>0</v>
      </c>
      <c r="D263" s="743">
        <f t="shared" si="40"/>
        <v>0</v>
      </c>
      <c r="E263" s="743">
        <f t="shared" si="40"/>
        <v>0</v>
      </c>
      <c r="F263" s="743">
        <f t="shared" si="40"/>
        <v>0</v>
      </c>
      <c r="G263" s="743">
        <f t="shared" si="40"/>
        <v>0</v>
      </c>
      <c r="H263" s="743">
        <f t="shared" si="40"/>
        <v>0</v>
      </c>
      <c r="I263" s="743">
        <f t="shared" si="40"/>
        <v>0</v>
      </c>
      <c r="J263" s="75">
        <f t="shared" si="34"/>
        <v>0</v>
      </c>
      <c r="K263" s="75">
        <f t="shared" si="35"/>
        <v>0</v>
      </c>
      <c r="L263" s="743">
        <f>SUM(L264:L273)</f>
        <v>0</v>
      </c>
      <c r="M263" s="771">
        <f>SUM(M264:M273)</f>
        <v>0</v>
      </c>
    </row>
    <row r="264" spans="1:13" ht="13.5" x14ac:dyDescent="0.25">
      <c r="A264" s="760" t="str">
        <f t="shared" si="39"/>
        <v>9.1 - [Name of sub-vote]</v>
      </c>
      <c r="B264" s="915"/>
      <c r="C264" s="389"/>
      <c r="D264" s="109"/>
      <c r="E264" s="109"/>
      <c r="F264" s="109"/>
      <c r="G264" s="109"/>
      <c r="H264" s="109"/>
      <c r="I264" s="109"/>
      <c r="J264" s="75">
        <f t="shared" si="34"/>
        <v>0</v>
      </c>
      <c r="K264" s="75">
        <f t="shared" si="35"/>
        <v>0</v>
      </c>
      <c r="L264" s="109"/>
      <c r="M264" s="110"/>
    </row>
    <row r="265" spans="1:13" ht="13.5" x14ac:dyDescent="0.25">
      <c r="A265" s="760">
        <f t="shared" si="39"/>
        <v>0</v>
      </c>
      <c r="B265" s="915"/>
      <c r="C265" s="389"/>
      <c r="D265" s="109"/>
      <c r="E265" s="109"/>
      <c r="F265" s="109"/>
      <c r="G265" s="109"/>
      <c r="H265" s="109"/>
      <c r="I265" s="109"/>
      <c r="J265" s="75">
        <f t="shared" si="34"/>
        <v>0</v>
      </c>
      <c r="K265" s="75">
        <f t="shared" si="35"/>
        <v>0</v>
      </c>
      <c r="L265" s="109"/>
      <c r="M265" s="110"/>
    </row>
    <row r="266" spans="1:13" ht="13.5" x14ac:dyDescent="0.25">
      <c r="A266" s="760">
        <f t="shared" si="39"/>
        <v>0</v>
      </c>
      <c r="B266" s="915"/>
      <c r="C266" s="389"/>
      <c r="D266" s="109"/>
      <c r="E266" s="109"/>
      <c r="F266" s="109"/>
      <c r="G266" s="109"/>
      <c r="H266" s="109"/>
      <c r="I266" s="109"/>
      <c r="J266" s="75">
        <f t="shared" si="34"/>
        <v>0</v>
      </c>
      <c r="K266" s="75">
        <f t="shared" si="35"/>
        <v>0</v>
      </c>
      <c r="L266" s="109"/>
      <c r="M266" s="110"/>
    </row>
    <row r="267" spans="1:13" ht="13.5" x14ac:dyDescent="0.25">
      <c r="A267" s="760">
        <f t="shared" si="39"/>
        <v>0</v>
      </c>
      <c r="B267" s="915"/>
      <c r="C267" s="389"/>
      <c r="D267" s="109"/>
      <c r="E267" s="109"/>
      <c r="F267" s="109"/>
      <c r="G267" s="109"/>
      <c r="H267" s="109"/>
      <c r="I267" s="109"/>
      <c r="J267" s="75">
        <f t="shared" si="34"/>
        <v>0</v>
      </c>
      <c r="K267" s="75">
        <f t="shared" si="35"/>
        <v>0</v>
      </c>
      <c r="L267" s="109"/>
      <c r="M267" s="110"/>
    </row>
    <row r="268" spans="1:13" ht="13.5" x14ac:dyDescent="0.25">
      <c r="A268" s="760">
        <f t="shared" si="39"/>
        <v>0</v>
      </c>
      <c r="B268" s="915"/>
      <c r="C268" s="389"/>
      <c r="D268" s="109"/>
      <c r="E268" s="109"/>
      <c r="F268" s="109"/>
      <c r="G268" s="109"/>
      <c r="H268" s="109"/>
      <c r="I268" s="109"/>
      <c r="J268" s="75">
        <f t="shared" si="34"/>
        <v>0</v>
      </c>
      <c r="K268" s="75">
        <f t="shared" si="35"/>
        <v>0</v>
      </c>
      <c r="L268" s="109"/>
      <c r="M268" s="110"/>
    </row>
    <row r="269" spans="1:13" ht="13.5" x14ac:dyDescent="0.25">
      <c r="A269" s="760">
        <f t="shared" si="39"/>
        <v>0</v>
      </c>
      <c r="B269" s="915"/>
      <c r="C269" s="389"/>
      <c r="D269" s="109"/>
      <c r="E269" s="109"/>
      <c r="F269" s="109"/>
      <c r="G269" s="109"/>
      <c r="H269" s="109"/>
      <c r="I269" s="109"/>
      <c r="J269" s="75">
        <f t="shared" si="34"/>
        <v>0</v>
      </c>
      <c r="K269" s="75">
        <f t="shared" si="35"/>
        <v>0</v>
      </c>
      <c r="L269" s="109"/>
      <c r="M269" s="110"/>
    </row>
    <row r="270" spans="1:13" ht="13.5" x14ac:dyDescent="0.25">
      <c r="A270" s="760">
        <f t="shared" si="39"/>
        <v>0</v>
      </c>
      <c r="B270" s="915"/>
      <c r="C270" s="389"/>
      <c r="D270" s="109"/>
      <c r="E270" s="109"/>
      <c r="F270" s="109"/>
      <c r="G270" s="109"/>
      <c r="H270" s="109"/>
      <c r="I270" s="109"/>
      <c r="J270" s="75">
        <f t="shared" si="34"/>
        <v>0</v>
      </c>
      <c r="K270" s="75">
        <f t="shared" si="35"/>
        <v>0</v>
      </c>
      <c r="L270" s="109"/>
      <c r="M270" s="110"/>
    </row>
    <row r="271" spans="1:13" ht="13.5" x14ac:dyDescent="0.25">
      <c r="A271" s="760">
        <f t="shared" si="39"/>
        <v>0</v>
      </c>
      <c r="B271" s="915"/>
      <c r="C271" s="389"/>
      <c r="D271" s="109"/>
      <c r="E271" s="109"/>
      <c r="F271" s="109"/>
      <c r="G271" s="109"/>
      <c r="H271" s="109"/>
      <c r="I271" s="109"/>
      <c r="J271" s="75">
        <f t="shared" si="34"/>
        <v>0</v>
      </c>
      <c r="K271" s="75">
        <f t="shared" si="35"/>
        <v>0</v>
      </c>
      <c r="L271" s="109"/>
      <c r="M271" s="110"/>
    </row>
    <row r="272" spans="1:13" ht="13.5" x14ac:dyDescent="0.25">
      <c r="A272" s="760">
        <f t="shared" si="39"/>
        <v>0</v>
      </c>
      <c r="B272" s="915"/>
      <c r="C272" s="389"/>
      <c r="D272" s="109"/>
      <c r="E272" s="109"/>
      <c r="F272" s="109"/>
      <c r="G272" s="109"/>
      <c r="H272" s="109"/>
      <c r="I272" s="109"/>
      <c r="J272" s="75">
        <f t="shared" si="34"/>
        <v>0</v>
      </c>
      <c r="K272" s="75">
        <f t="shared" si="35"/>
        <v>0</v>
      </c>
      <c r="L272" s="109"/>
      <c r="M272" s="110"/>
    </row>
    <row r="273" spans="1:13" ht="13.5" x14ac:dyDescent="0.25">
      <c r="A273" s="760">
        <f t="shared" si="39"/>
        <v>0</v>
      </c>
      <c r="B273" s="915"/>
      <c r="C273" s="389"/>
      <c r="D273" s="109"/>
      <c r="E273" s="109"/>
      <c r="F273" s="109"/>
      <c r="G273" s="109"/>
      <c r="H273" s="109"/>
      <c r="I273" s="109"/>
      <c r="J273" s="75">
        <f t="shared" si="34"/>
        <v>0</v>
      </c>
      <c r="K273" s="75">
        <f t="shared" si="35"/>
        <v>0</v>
      </c>
      <c r="L273" s="109"/>
      <c r="M273" s="110"/>
    </row>
    <row r="274" spans="1:13" ht="13.5" x14ac:dyDescent="0.25">
      <c r="A274" s="757" t="str">
        <f>A106</f>
        <v>Vote 10 - [NAME OF VOTE 10]</v>
      </c>
      <c r="B274" s="915"/>
      <c r="C274" s="744">
        <f t="shared" ref="C274:I274" si="41">SUM(C275:C284)</f>
        <v>0</v>
      </c>
      <c r="D274" s="743">
        <f t="shared" si="41"/>
        <v>0</v>
      </c>
      <c r="E274" s="743">
        <f t="shared" si="41"/>
        <v>0</v>
      </c>
      <c r="F274" s="743">
        <f t="shared" si="41"/>
        <v>0</v>
      </c>
      <c r="G274" s="743">
        <f t="shared" si="41"/>
        <v>0</v>
      </c>
      <c r="H274" s="743">
        <f t="shared" si="41"/>
        <v>0</v>
      </c>
      <c r="I274" s="743">
        <f t="shared" si="41"/>
        <v>0</v>
      </c>
      <c r="J274" s="75">
        <f t="shared" si="34"/>
        <v>0</v>
      </c>
      <c r="K274" s="75">
        <f t="shared" si="35"/>
        <v>0</v>
      </c>
      <c r="L274" s="743">
        <f>SUM(L275:L284)</f>
        <v>0</v>
      </c>
      <c r="M274" s="771">
        <f>SUM(M275:M284)</f>
        <v>0</v>
      </c>
    </row>
    <row r="275" spans="1:13" ht="13.5" x14ac:dyDescent="0.25">
      <c r="A275" s="760" t="str">
        <f>A107</f>
        <v>10.1 - [Name of sub-vote]</v>
      </c>
      <c r="B275" s="915"/>
      <c r="C275" s="389"/>
      <c r="D275" s="109"/>
      <c r="E275" s="109"/>
      <c r="F275" s="109"/>
      <c r="G275" s="109"/>
      <c r="H275" s="109"/>
      <c r="I275" s="109"/>
      <c r="J275" s="75">
        <f t="shared" si="34"/>
        <v>0</v>
      </c>
      <c r="K275" s="75">
        <f t="shared" si="35"/>
        <v>0</v>
      </c>
      <c r="L275" s="109"/>
      <c r="M275" s="110"/>
    </row>
    <row r="276" spans="1:13" ht="13.5" x14ac:dyDescent="0.25">
      <c r="A276" s="760">
        <f t="shared" ref="A276:A283" si="42">A108</f>
        <v>0</v>
      </c>
      <c r="B276" s="915"/>
      <c r="C276" s="389"/>
      <c r="D276" s="109"/>
      <c r="E276" s="109"/>
      <c r="F276" s="109"/>
      <c r="G276" s="109"/>
      <c r="H276" s="109"/>
      <c r="I276" s="109"/>
      <c r="J276" s="75">
        <f t="shared" si="34"/>
        <v>0</v>
      </c>
      <c r="K276" s="75">
        <f t="shared" si="35"/>
        <v>0</v>
      </c>
      <c r="L276" s="109"/>
      <c r="M276" s="110"/>
    </row>
    <row r="277" spans="1:13" ht="13.5" x14ac:dyDescent="0.25">
      <c r="A277" s="760">
        <f t="shared" si="42"/>
        <v>0</v>
      </c>
      <c r="B277" s="915"/>
      <c r="C277" s="389"/>
      <c r="D277" s="109"/>
      <c r="E277" s="109"/>
      <c r="F277" s="109"/>
      <c r="G277" s="109"/>
      <c r="H277" s="109"/>
      <c r="I277" s="109"/>
      <c r="J277" s="75">
        <f t="shared" si="34"/>
        <v>0</v>
      </c>
      <c r="K277" s="75">
        <f t="shared" si="35"/>
        <v>0</v>
      </c>
      <c r="L277" s="109"/>
      <c r="M277" s="110"/>
    </row>
    <row r="278" spans="1:13" ht="13.5" x14ac:dyDescent="0.25">
      <c r="A278" s="760">
        <f t="shared" si="42"/>
        <v>0</v>
      </c>
      <c r="B278" s="915"/>
      <c r="C278" s="389"/>
      <c r="D278" s="109"/>
      <c r="E278" s="109"/>
      <c r="F278" s="109"/>
      <c r="G278" s="109"/>
      <c r="H278" s="109"/>
      <c r="I278" s="109"/>
      <c r="J278" s="75">
        <f t="shared" si="34"/>
        <v>0</v>
      </c>
      <c r="K278" s="75">
        <f t="shared" si="35"/>
        <v>0</v>
      </c>
      <c r="L278" s="109"/>
      <c r="M278" s="110"/>
    </row>
    <row r="279" spans="1:13" ht="13.5" x14ac:dyDescent="0.25">
      <c r="A279" s="760">
        <f t="shared" si="42"/>
        <v>0</v>
      </c>
      <c r="B279" s="915"/>
      <c r="C279" s="389"/>
      <c r="D279" s="109"/>
      <c r="E279" s="109"/>
      <c r="F279" s="109"/>
      <c r="G279" s="109"/>
      <c r="H279" s="109"/>
      <c r="I279" s="109"/>
      <c r="J279" s="75">
        <f t="shared" si="34"/>
        <v>0</v>
      </c>
      <c r="K279" s="75">
        <f t="shared" si="35"/>
        <v>0</v>
      </c>
      <c r="L279" s="109"/>
      <c r="M279" s="110"/>
    </row>
    <row r="280" spans="1:13" ht="13.5" x14ac:dyDescent="0.25">
      <c r="A280" s="760">
        <f t="shared" si="42"/>
        <v>0</v>
      </c>
      <c r="B280" s="915"/>
      <c r="C280" s="389"/>
      <c r="D280" s="109"/>
      <c r="E280" s="109"/>
      <c r="F280" s="109"/>
      <c r="G280" s="109"/>
      <c r="H280" s="109"/>
      <c r="I280" s="109"/>
      <c r="J280" s="75">
        <f t="shared" si="34"/>
        <v>0</v>
      </c>
      <c r="K280" s="75">
        <f t="shared" si="35"/>
        <v>0</v>
      </c>
      <c r="L280" s="109"/>
      <c r="M280" s="110"/>
    </row>
    <row r="281" spans="1:13" ht="13.5" x14ac:dyDescent="0.25">
      <c r="A281" s="760">
        <f t="shared" si="42"/>
        <v>0</v>
      </c>
      <c r="B281" s="915"/>
      <c r="C281" s="389"/>
      <c r="D281" s="109"/>
      <c r="E281" s="109"/>
      <c r="F281" s="109"/>
      <c r="G281" s="109"/>
      <c r="H281" s="109"/>
      <c r="I281" s="109"/>
      <c r="J281" s="75">
        <f t="shared" si="34"/>
        <v>0</v>
      </c>
      <c r="K281" s="75">
        <f t="shared" si="35"/>
        <v>0</v>
      </c>
      <c r="L281" s="109"/>
      <c r="M281" s="110"/>
    </row>
    <row r="282" spans="1:13" ht="13.5" x14ac:dyDescent="0.25">
      <c r="A282" s="760">
        <f t="shared" si="42"/>
        <v>0</v>
      </c>
      <c r="B282" s="915"/>
      <c r="C282" s="389"/>
      <c r="D282" s="109"/>
      <c r="E282" s="109"/>
      <c r="F282" s="109"/>
      <c r="G282" s="109"/>
      <c r="H282" s="109"/>
      <c r="I282" s="109"/>
      <c r="J282" s="75">
        <f t="shared" si="34"/>
        <v>0</v>
      </c>
      <c r="K282" s="75">
        <f t="shared" si="35"/>
        <v>0</v>
      </c>
      <c r="L282" s="109"/>
      <c r="M282" s="110"/>
    </row>
    <row r="283" spans="1:13" ht="13.5" x14ac:dyDescent="0.25">
      <c r="A283" s="760">
        <f t="shared" si="42"/>
        <v>0</v>
      </c>
      <c r="B283" s="915"/>
      <c r="C283" s="389"/>
      <c r="D283" s="109"/>
      <c r="E283" s="109"/>
      <c r="F283" s="109"/>
      <c r="G283" s="109"/>
      <c r="H283" s="109"/>
      <c r="I283" s="109"/>
      <c r="J283" s="75">
        <f t="shared" si="34"/>
        <v>0</v>
      </c>
      <c r="K283" s="75">
        <f t="shared" si="35"/>
        <v>0</v>
      </c>
      <c r="L283" s="109"/>
      <c r="M283" s="110"/>
    </row>
    <row r="284" spans="1:13" ht="13.5" x14ac:dyDescent="0.25">
      <c r="A284" s="760">
        <f>A116</f>
        <v>0</v>
      </c>
      <c r="B284" s="915"/>
      <c r="C284" s="389"/>
      <c r="D284" s="109"/>
      <c r="E284" s="109"/>
      <c r="F284" s="109"/>
      <c r="G284" s="109"/>
      <c r="H284" s="109"/>
      <c r="I284" s="109"/>
      <c r="J284" s="75">
        <f t="shared" si="34"/>
        <v>0</v>
      </c>
      <c r="K284" s="75">
        <f t="shared" si="35"/>
        <v>0</v>
      </c>
      <c r="L284" s="109"/>
      <c r="M284" s="110"/>
    </row>
    <row r="285" spans="1:13" ht="13.5" x14ac:dyDescent="0.25">
      <c r="A285" s="757" t="str">
        <f>A117</f>
        <v>Vote 11 - [NAME OF VOTE 11]</v>
      </c>
      <c r="B285" s="915"/>
      <c r="C285" s="744">
        <f t="shared" ref="C285:I285" si="43">SUM(C286:C295)</f>
        <v>0</v>
      </c>
      <c r="D285" s="743">
        <f t="shared" si="43"/>
        <v>0</v>
      </c>
      <c r="E285" s="743">
        <f t="shared" si="43"/>
        <v>0</v>
      </c>
      <c r="F285" s="743">
        <f t="shared" si="43"/>
        <v>0</v>
      </c>
      <c r="G285" s="743">
        <f t="shared" si="43"/>
        <v>0</v>
      </c>
      <c r="H285" s="743">
        <f t="shared" si="43"/>
        <v>0</v>
      </c>
      <c r="I285" s="743">
        <f t="shared" si="43"/>
        <v>0</v>
      </c>
      <c r="J285" s="75">
        <f t="shared" si="34"/>
        <v>0</v>
      </c>
      <c r="K285" s="75">
        <f t="shared" si="35"/>
        <v>0</v>
      </c>
      <c r="L285" s="743">
        <f>SUM(L286:L295)</f>
        <v>0</v>
      </c>
      <c r="M285" s="771">
        <f>SUM(M286:M295)</f>
        <v>0</v>
      </c>
    </row>
    <row r="286" spans="1:13" ht="13.5" x14ac:dyDescent="0.25">
      <c r="A286" s="760" t="str">
        <f>A118</f>
        <v>11.1 - [Name of sub-vote]</v>
      </c>
      <c r="B286" s="915"/>
      <c r="C286" s="389"/>
      <c r="D286" s="109"/>
      <c r="E286" s="109"/>
      <c r="F286" s="109"/>
      <c r="G286" s="109"/>
      <c r="H286" s="109"/>
      <c r="I286" s="109"/>
      <c r="J286" s="75">
        <f t="shared" si="34"/>
        <v>0</v>
      </c>
      <c r="K286" s="75">
        <f t="shared" si="35"/>
        <v>0</v>
      </c>
      <c r="L286" s="109"/>
      <c r="M286" s="110"/>
    </row>
    <row r="287" spans="1:13" ht="13.5" x14ac:dyDescent="0.25">
      <c r="A287" s="760">
        <f t="shared" ref="A287:A339" si="44">A119</f>
        <v>0</v>
      </c>
      <c r="B287" s="915"/>
      <c r="C287" s="389"/>
      <c r="D287" s="109"/>
      <c r="E287" s="109"/>
      <c r="F287" s="109"/>
      <c r="G287" s="109"/>
      <c r="H287" s="109"/>
      <c r="I287" s="109"/>
      <c r="J287" s="75">
        <f t="shared" si="34"/>
        <v>0</v>
      </c>
      <c r="K287" s="75">
        <f t="shared" si="35"/>
        <v>0</v>
      </c>
      <c r="L287" s="109"/>
      <c r="M287" s="110"/>
    </row>
    <row r="288" spans="1:13" ht="13.5" x14ac:dyDescent="0.25">
      <c r="A288" s="760">
        <f t="shared" si="44"/>
        <v>0</v>
      </c>
      <c r="B288" s="915"/>
      <c r="C288" s="389"/>
      <c r="D288" s="109"/>
      <c r="E288" s="109"/>
      <c r="F288" s="109"/>
      <c r="G288" s="109"/>
      <c r="H288" s="109"/>
      <c r="I288" s="109"/>
      <c r="J288" s="75">
        <f t="shared" si="34"/>
        <v>0</v>
      </c>
      <c r="K288" s="75">
        <f t="shared" si="35"/>
        <v>0</v>
      </c>
      <c r="L288" s="109"/>
      <c r="M288" s="110"/>
    </row>
    <row r="289" spans="1:13" ht="13.5" x14ac:dyDescent="0.25">
      <c r="A289" s="760">
        <f t="shared" si="44"/>
        <v>0</v>
      </c>
      <c r="B289" s="915"/>
      <c r="C289" s="389"/>
      <c r="D289" s="109"/>
      <c r="E289" s="109"/>
      <c r="F289" s="109"/>
      <c r="G289" s="109"/>
      <c r="H289" s="109"/>
      <c r="I289" s="109"/>
      <c r="J289" s="75">
        <f t="shared" si="34"/>
        <v>0</v>
      </c>
      <c r="K289" s="75">
        <f t="shared" si="35"/>
        <v>0</v>
      </c>
      <c r="L289" s="109"/>
      <c r="M289" s="110"/>
    </row>
    <row r="290" spans="1:13" ht="13.5" x14ac:dyDescent="0.25">
      <c r="A290" s="760">
        <f t="shared" si="44"/>
        <v>0</v>
      </c>
      <c r="B290" s="915"/>
      <c r="C290" s="389"/>
      <c r="D290" s="109"/>
      <c r="E290" s="109"/>
      <c r="F290" s="109"/>
      <c r="G290" s="109"/>
      <c r="H290" s="109"/>
      <c r="I290" s="109"/>
      <c r="J290" s="75">
        <f t="shared" si="34"/>
        <v>0</v>
      </c>
      <c r="K290" s="75">
        <f t="shared" si="35"/>
        <v>0</v>
      </c>
      <c r="L290" s="109"/>
      <c r="M290" s="110"/>
    </row>
    <row r="291" spans="1:13" ht="13.5" x14ac:dyDescent="0.25">
      <c r="A291" s="760">
        <f t="shared" si="44"/>
        <v>0</v>
      </c>
      <c r="B291" s="915"/>
      <c r="C291" s="389"/>
      <c r="D291" s="109"/>
      <c r="E291" s="109"/>
      <c r="F291" s="109"/>
      <c r="G291" s="109"/>
      <c r="H291" s="109"/>
      <c r="I291" s="109"/>
      <c r="J291" s="75">
        <f t="shared" si="34"/>
        <v>0</v>
      </c>
      <c r="K291" s="75">
        <f t="shared" si="35"/>
        <v>0</v>
      </c>
      <c r="L291" s="109"/>
      <c r="M291" s="110"/>
    </row>
    <row r="292" spans="1:13" ht="13.5" x14ac:dyDescent="0.25">
      <c r="A292" s="760">
        <f t="shared" si="44"/>
        <v>0</v>
      </c>
      <c r="B292" s="915"/>
      <c r="C292" s="389"/>
      <c r="D292" s="109"/>
      <c r="E292" s="109"/>
      <c r="F292" s="109"/>
      <c r="G292" s="109"/>
      <c r="H292" s="109"/>
      <c r="I292" s="109"/>
      <c r="J292" s="75">
        <f t="shared" si="34"/>
        <v>0</v>
      </c>
      <c r="K292" s="75">
        <f t="shared" si="35"/>
        <v>0</v>
      </c>
      <c r="L292" s="109"/>
      <c r="M292" s="110"/>
    </row>
    <row r="293" spans="1:13" ht="13.5" x14ac:dyDescent="0.25">
      <c r="A293" s="760">
        <f t="shared" si="44"/>
        <v>0</v>
      </c>
      <c r="B293" s="915"/>
      <c r="C293" s="389"/>
      <c r="D293" s="109"/>
      <c r="E293" s="109"/>
      <c r="F293" s="109"/>
      <c r="G293" s="109"/>
      <c r="H293" s="109"/>
      <c r="I293" s="109"/>
      <c r="J293" s="75">
        <f t="shared" si="34"/>
        <v>0</v>
      </c>
      <c r="K293" s="75">
        <f t="shared" si="35"/>
        <v>0</v>
      </c>
      <c r="L293" s="109"/>
      <c r="M293" s="110"/>
    </row>
    <row r="294" spans="1:13" ht="13.5" x14ac:dyDescent="0.25">
      <c r="A294" s="760">
        <f t="shared" si="44"/>
        <v>0</v>
      </c>
      <c r="B294" s="915"/>
      <c r="C294" s="389"/>
      <c r="D294" s="109"/>
      <c r="E294" s="109"/>
      <c r="F294" s="109"/>
      <c r="G294" s="109"/>
      <c r="H294" s="109"/>
      <c r="I294" s="109"/>
      <c r="J294" s="75">
        <f t="shared" si="34"/>
        <v>0</v>
      </c>
      <c r="K294" s="75">
        <f t="shared" si="35"/>
        <v>0</v>
      </c>
      <c r="L294" s="109"/>
      <c r="M294" s="110"/>
    </row>
    <row r="295" spans="1:13" ht="13.5" x14ac:dyDescent="0.25">
      <c r="A295" s="760">
        <f t="shared" si="44"/>
        <v>0</v>
      </c>
      <c r="B295" s="915"/>
      <c r="C295" s="389"/>
      <c r="D295" s="109"/>
      <c r="E295" s="109"/>
      <c r="F295" s="109"/>
      <c r="G295" s="109"/>
      <c r="H295" s="109"/>
      <c r="I295" s="109"/>
      <c r="J295" s="75">
        <f t="shared" si="34"/>
        <v>0</v>
      </c>
      <c r="K295" s="75">
        <f t="shared" si="35"/>
        <v>0</v>
      </c>
      <c r="L295" s="109"/>
      <c r="M295" s="110"/>
    </row>
    <row r="296" spans="1:13" ht="13.5" x14ac:dyDescent="0.25">
      <c r="A296" s="757" t="str">
        <f t="shared" si="44"/>
        <v>Vote 12 - [NAME OF VOTE 12]</v>
      </c>
      <c r="B296" s="915"/>
      <c r="C296" s="744">
        <f t="shared" ref="C296:I296" si="45">SUM(C297:C306)</f>
        <v>0</v>
      </c>
      <c r="D296" s="743">
        <f t="shared" si="45"/>
        <v>0</v>
      </c>
      <c r="E296" s="743">
        <f t="shared" si="45"/>
        <v>0</v>
      </c>
      <c r="F296" s="743">
        <f t="shared" si="45"/>
        <v>0</v>
      </c>
      <c r="G296" s="743">
        <f t="shared" si="45"/>
        <v>0</v>
      </c>
      <c r="H296" s="743">
        <f t="shared" si="45"/>
        <v>0</v>
      </c>
      <c r="I296" s="743">
        <f t="shared" si="45"/>
        <v>0</v>
      </c>
      <c r="J296" s="75">
        <f t="shared" si="34"/>
        <v>0</v>
      </c>
      <c r="K296" s="75">
        <f t="shared" si="35"/>
        <v>0</v>
      </c>
      <c r="L296" s="743">
        <f>SUM(L297:L306)</f>
        <v>0</v>
      </c>
      <c r="M296" s="771">
        <f>SUM(M297:M306)</f>
        <v>0</v>
      </c>
    </row>
    <row r="297" spans="1:13" ht="13.5" x14ac:dyDescent="0.25">
      <c r="A297" s="760" t="str">
        <f t="shared" si="44"/>
        <v>12.1 - [Name of sub-vote]</v>
      </c>
      <c r="B297" s="915"/>
      <c r="C297" s="389"/>
      <c r="D297" s="109"/>
      <c r="E297" s="109"/>
      <c r="F297" s="109"/>
      <c r="G297" s="109"/>
      <c r="H297" s="109"/>
      <c r="I297" s="109"/>
      <c r="J297" s="75">
        <f t="shared" si="34"/>
        <v>0</v>
      </c>
      <c r="K297" s="75">
        <f t="shared" si="35"/>
        <v>0</v>
      </c>
      <c r="L297" s="109"/>
      <c r="M297" s="110"/>
    </row>
    <row r="298" spans="1:13" ht="13.5" x14ac:dyDescent="0.25">
      <c r="A298" s="760">
        <f t="shared" si="44"/>
        <v>0</v>
      </c>
      <c r="B298" s="915"/>
      <c r="C298" s="389"/>
      <c r="D298" s="109"/>
      <c r="E298" s="109"/>
      <c r="F298" s="109"/>
      <c r="G298" s="109"/>
      <c r="H298" s="109"/>
      <c r="I298" s="109"/>
      <c r="J298" s="75">
        <f t="shared" si="34"/>
        <v>0</v>
      </c>
      <c r="K298" s="75">
        <f t="shared" si="35"/>
        <v>0</v>
      </c>
      <c r="L298" s="109"/>
      <c r="M298" s="110"/>
    </row>
    <row r="299" spans="1:13" ht="13.5" x14ac:dyDescent="0.25">
      <c r="A299" s="760">
        <f t="shared" si="44"/>
        <v>0</v>
      </c>
      <c r="B299" s="915"/>
      <c r="C299" s="389"/>
      <c r="D299" s="109"/>
      <c r="E299" s="109"/>
      <c r="F299" s="109"/>
      <c r="G299" s="109"/>
      <c r="H299" s="109"/>
      <c r="I299" s="109"/>
      <c r="J299" s="75">
        <f t="shared" si="34"/>
        <v>0</v>
      </c>
      <c r="K299" s="75">
        <f t="shared" si="35"/>
        <v>0</v>
      </c>
      <c r="L299" s="109"/>
      <c r="M299" s="110"/>
    </row>
    <row r="300" spans="1:13" ht="13.5" x14ac:dyDescent="0.25">
      <c r="A300" s="760">
        <f t="shared" si="44"/>
        <v>0</v>
      </c>
      <c r="B300" s="915"/>
      <c r="C300" s="389"/>
      <c r="D300" s="109"/>
      <c r="E300" s="109"/>
      <c r="F300" s="109"/>
      <c r="G300" s="109"/>
      <c r="H300" s="109"/>
      <c r="I300" s="109"/>
      <c r="J300" s="75">
        <f t="shared" si="34"/>
        <v>0</v>
      </c>
      <c r="K300" s="75">
        <f t="shared" si="35"/>
        <v>0</v>
      </c>
      <c r="L300" s="109"/>
      <c r="M300" s="110"/>
    </row>
    <row r="301" spans="1:13" ht="13.5" x14ac:dyDescent="0.25">
      <c r="A301" s="760">
        <f t="shared" si="44"/>
        <v>0</v>
      </c>
      <c r="B301" s="915"/>
      <c r="C301" s="389"/>
      <c r="D301" s="109"/>
      <c r="E301" s="109"/>
      <c r="F301" s="109"/>
      <c r="G301" s="109"/>
      <c r="H301" s="109"/>
      <c r="I301" s="109"/>
      <c r="J301" s="75">
        <f t="shared" si="34"/>
        <v>0</v>
      </c>
      <c r="K301" s="75">
        <f t="shared" si="35"/>
        <v>0</v>
      </c>
      <c r="L301" s="109"/>
      <c r="M301" s="110"/>
    </row>
    <row r="302" spans="1:13" ht="13.5" x14ac:dyDescent="0.25">
      <c r="A302" s="760">
        <f t="shared" si="44"/>
        <v>0</v>
      </c>
      <c r="B302" s="915"/>
      <c r="C302" s="389"/>
      <c r="D302" s="109"/>
      <c r="E302" s="109"/>
      <c r="F302" s="109"/>
      <c r="G302" s="109"/>
      <c r="H302" s="109"/>
      <c r="I302" s="109"/>
      <c r="J302" s="75">
        <f t="shared" si="34"/>
        <v>0</v>
      </c>
      <c r="K302" s="75">
        <f t="shared" si="35"/>
        <v>0</v>
      </c>
      <c r="L302" s="109"/>
      <c r="M302" s="110"/>
    </row>
    <row r="303" spans="1:13" ht="13.5" x14ac:dyDescent="0.25">
      <c r="A303" s="760">
        <f t="shared" si="44"/>
        <v>0</v>
      </c>
      <c r="B303" s="915"/>
      <c r="C303" s="389"/>
      <c r="D303" s="109"/>
      <c r="E303" s="109"/>
      <c r="F303" s="109"/>
      <c r="G303" s="109"/>
      <c r="H303" s="109"/>
      <c r="I303" s="109"/>
      <c r="J303" s="75">
        <f t="shared" si="34"/>
        <v>0</v>
      </c>
      <c r="K303" s="75">
        <f t="shared" si="35"/>
        <v>0</v>
      </c>
      <c r="L303" s="109"/>
      <c r="M303" s="110"/>
    </row>
    <row r="304" spans="1:13" ht="13.5" x14ac:dyDescent="0.25">
      <c r="A304" s="760">
        <f t="shared" si="44"/>
        <v>0</v>
      </c>
      <c r="B304" s="915"/>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60">
        <f t="shared" si="44"/>
        <v>0</v>
      </c>
      <c r="B305" s="915"/>
      <c r="C305" s="389"/>
      <c r="D305" s="109"/>
      <c r="E305" s="109"/>
      <c r="F305" s="109"/>
      <c r="G305" s="109"/>
      <c r="H305" s="109"/>
      <c r="I305" s="109"/>
      <c r="J305" s="75">
        <f t="shared" si="46"/>
        <v>0</v>
      </c>
      <c r="K305" s="75">
        <f t="shared" si="47"/>
        <v>0</v>
      </c>
      <c r="L305" s="109"/>
      <c r="M305" s="110"/>
    </row>
    <row r="306" spans="1:13" ht="13.5" x14ac:dyDescent="0.25">
      <c r="A306" s="760">
        <f t="shared" si="44"/>
        <v>0</v>
      </c>
      <c r="B306" s="915"/>
      <c r="C306" s="389"/>
      <c r="D306" s="109"/>
      <c r="E306" s="109"/>
      <c r="F306" s="109"/>
      <c r="G306" s="109"/>
      <c r="H306" s="109"/>
      <c r="I306" s="109"/>
      <c r="J306" s="75">
        <f t="shared" si="46"/>
        <v>0</v>
      </c>
      <c r="K306" s="75">
        <f t="shared" si="47"/>
        <v>0</v>
      </c>
      <c r="L306" s="109"/>
      <c r="M306" s="110"/>
    </row>
    <row r="307" spans="1:13" ht="13.5" x14ac:dyDescent="0.25">
      <c r="A307" s="757" t="str">
        <f t="shared" si="44"/>
        <v>Vote 13 - [NAME OF VOTE 13]</v>
      </c>
      <c r="B307" s="915"/>
      <c r="C307" s="744">
        <f t="shared" ref="C307:I307" si="48">SUM(C308:C317)</f>
        <v>0</v>
      </c>
      <c r="D307" s="743">
        <f t="shared" si="48"/>
        <v>0</v>
      </c>
      <c r="E307" s="743">
        <f t="shared" si="48"/>
        <v>0</v>
      </c>
      <c r="F307" s="743">
        <f t="shared" si="48"/>
        <v>0</v>
      </c>
      <c r="G307" s="743">
        <f t="shared" si="48"/>
        <v>0</v>
      </c>
      <c r="H307" s="743">
        <f t="shared" si="48"/>
        <v>0</v>
      </c>
      <c r="I307" s="743">
        <f t="shared" si="48"/>
        <v>0</v>
      </c>
      <c r="J307" s="75">
        <f t="shared" si="46"/>
        <v>0</v>
      </c>
      <c r="K307" s="75">
        <f t="shared" si="47"/>
        <v>0</v>
      </c>
      <c r="L307" s="743">
        <f>SUM(L308:L317)</f>
        <v>0</v>
      </c>
      <c r="M307" s="771">
        <f>SUM(M308:M317)</f>
        <v>0</v>
      </c>
    </row>
    <row r="308" spans="1:13" ht="13.5" x14ac:dyDescent="0.25">
      <c r="A308" s="760" t="str">
        <f t="shared" si="44"/>
        <v>13.1 - [Name of sub-vote]</v>
      </c>
      <c r="B308" s="915"/>
      <c r="C308" s="389"/>
      <c r="D308" s="109"/>
      <c r="E308" s="109"/>
      <c r="F308" s="109"/>
      <c r="G308" s="109"/>
      <c r="H308" s="109"/>
      <c r="I308" s="109"/>
      <c r="J308" s="75">
        <f t="shared" si="46"/>
        <v>0</v>
      </c>
      <c r="K308" s="75">
        <f t="shared" si="47"/>
        <v>0</v>
      </c>
      <c r="L308" s="109"/>
      <c r="M308" s="110"/>
    </row>
    <row r="309" spans="1:13" ht="13.5" x14ac:dyDescent="0.25">
      <c r="A309" s="760">
        <f t="shared" si="44"/>
        <v>0</v>
      </c>
      <c r="B309" s="915"/>
      <c r="C309" s="389"/>
      <c r="D309" s="109"/>
      <c r="E309" s="109"/>
      <c r="F309" s="109"/>
      <c r="G309" s="109"/>
      <c r="H309" s="109"/>
      <c r="I309" s="109"/>
      <c r="J309" s="75">
        <f t="shared" si="46"/>
        <v>0</v>
      </c>
      <c r="K309" s="75">
        <f t="shared" si="47"/>
        <v>0</v>
      </c>
      <c r="L309" s="109"/>
      <c r="M309" s="110"/>
    </row>
    <row r="310" spans="1:13" ht="13.5" x14ac:dyDescent="0.25">
      <c r="A310" s="760">
        <f t="shared" si="44"/>
        <v>0</v>
      </c>
      <c r="B310" s="915"/>
      <c r="C310" s="389"/>
      <c r="D310" s="109"/>
      <c r="E310" s="109"/>
      <c r="F310" s="109"/>
      <c r="G310" s="109"/>
      <c r="H310" s="109"/>
      <c r="I310" s="109"/>
      <c r="J310" s="75">
        <f t="shared" si="46"/>
        <v>0</v>
      </c>
      <c r="K310" s="75">
        <f t="shared" si="47"/>
        <v>0</v>
      </c>
      <c r="L310" s="109"/>
      <c r="M310" s="110"/>
    </row>
    <row r="311" spans="1:13" ht="13.5" x14ac:dyDescent="0.25">
      <c r="A311" s="760">
        <f t="shared" si="44"/>
        <v>0</v>
      </c>
      <c r="B311" s="915"/>
      <c r="C311" s="389"/>
      <c r="D311" s="109"/>
      <c r="E311" s="109"/>
      <c r="F311" s="109"/>
      <c r="G311" s="109"/>
      <c r="H311" s="109"/>
      <c r="I311" s="109"/>
      <c r="J311" s="75">
        <f t="shared" si="46"/>
        <v>0</v>
      </c>
      <c r="K311" s="75">
        <f t="shared" si="47"/>
        <v>0</v>
      </c>
      <c r="L311" s="109"/>
      <c r="M311" s="110"/>
    </row>
    <row r="312" spans="1:13" ht="13.5" x14ac:dyDescent="0.25">
      <c r="A312" s="760">
        <f t="shared" si="44"/>
        <v>0</v>
      </c>
      <c r="B312" s="915"/>
      <c r="C312" s="389"/>
      <c r="D312" s="109"/>
      <c r="E312" s="109"/>
      <c r="F312" s="109"/>
      <c r="G312" s="109"/>
      <c r="H312" s="109"/>
      <c r="I312" s="109"/>
      <c r="J312" s="75">
        <f t="shared" si="46"/>
        <v>0</v>
      </c>
      <c r="K312" s="75">
        <f t="shared" si="47"/>
        <v>0</v>
      </c>
      <c r="L312" s="109"/>
      <c r="M312" s="110"/>
    </row>
    <row r="313" spans="1:13" ht="13.5" x14ac:dyDescent="0.25">
      <c r="A313" s="760">
        <f t="shared" si="44"/>
        <v>0</v>
      </c>
      <c r="B313" s="915"/>
      <c r="C313" s="389"/>
      <c r="D313" s="109"/>
      <c r="E313" s="109"/>
      <c r="F313" s="109"/>
      <c r="G313" s="109"/>
      <c r="H313" s="109"/>
      <c r="I313" s="109"/>
      <c r="J313" s="75">
        <f t="shared" si="46"/>
        <v>0</v>
      </c>
      <c r="K313" s="75">
        <f t="shared" si="47"/>
        <v>0</v>
      </c>
      <c r="L313" s="109"/>
      <c r="M313" s="110"/>
    </row>
    <row r="314" spans="1:13" ht="13.5" x14ac:dyDescent="0.25">
      <c r="A314" s="760">
        <f t="shared" si="44"/>
        <v>0</v>
      </c>
      <c r="B314" s="915"/>
      <c r="C314" s="389"/>
      <c r="D314" s="109"/>
      <c r="E314" s="109"/>
      <c r="F314" s="109"/>
      <c r="G314" s="109"/>
      <c r="H314" s="109"/>
      <c r="I314" s="109"/>
      <c r="J314" s="75">
        <f t="shared" si="46"/>
        <v>0</v>
      </c>
      <c r="K314" s="75">
        <f t="shared" si="47"/>
        <v>0</v>
      </c>
      <c r="L314" s="109"/>
      <c r="M314" s="110"/>
    </row>
    <row r="315" spans="1:13" ht="13.5" x14ac:dyDescent="0.25">
      <c r="A315" s="760">
        <f t="shared" si="44"/>
        <v>0</v>
      </c>
      <c r="B315" s="915"/>
      <c r="C315" s="389"/>
      <c r="D315" s="109"/>
      <c r="E315" s="109"/>
      <c r="F315" s="109"/>
      <c r="G315" s="109"/>
      <c r="H315" s="109"/>
      <c r="I315" s="109"/>
      <c r="J315" s="75">
        <f t="shared" si="46"/>
        <v>0</v>
      </c>
      <c r="K315" s="75">
        <f t="shared" si="47"/>
        <v>0</v>
      </c>
      <c r="L315" s="109"/>
      <c r="M315" s="110"/>
    </row>
    <row r="316" spans="1:13" ht="13.5" x14ac:dyDescent="0.25">
      <c r="A316" s="760">
        <f t="shared" si="44"/>
        <v>0</v>
      </c>
      <c r="B316" s="915"/>
      <c r="C316" s="389"/>
      <c r="D316" s="109"/>
      <c r="E316" s="109"/>
      <c r="F316" s="109"/>
      <c r="G316" s="109"/>
      <c r="H316" s="109"/>
      <c r="I316" s="109"/>
      <c r="J316" s="75">
        <f t="shared" si="46"/>
        <v>0</v>
      </c>
      <c r="K316" s="75">
        <f t="shared" si="47"/>
        <v>0</v>
      </c>
      <c r="L316" s="109"/>
      <c r="M316" s="110"/>
    </row>
    <row r="317" spans="1:13" ht="13.5" x14ac:dyDescent="0.25">
      <c r="A317" s="760">
        <f t="shared" si="44"/>
        <v>0</v>
      </c>
      <c r="B317" s="915"/>
      <c r="C317" s="389"/>
      <c r="D317" s="109"/>
      <c r="E317" s="109"/>
      <c r="F317" s="109"/>
      <c r="G317" s="109"/>
      <c r="H317" s="109"/>
      <c r="I317" s="109"/>
      <c r="J317" s="75">
        <f t="shared" si="46"/>
        <v>0</v>
      </c>
      <c r="K317" s="75">
        <f t="shared" si="47"/>
        <v>0</v>
      </c>
      <c r="L317" s="109"/>
      <c r="M317" s="110"/>
    </row>
    <row r="318" spans="1:13" ht="13.5" x14ac:dyDescent="0.25">
      <c r="A318" s="757" t="str">
        <f t="shared" si="44"/>
        <v>Vote 14 - [NAME OF VOTE 14]</v>
      </c>
      <c r="B318" s="915"/>
      <c r="C318" s="744">
        <f t="shared" ref="C318:I318" si="49">SUM(C319:C328)</f>
        <v>0</v>
      </c>
      <c r="D318" s="743">
        <f t="shared" si="49"/>
        <v>0</v>
      </c>
      <c r="E318" s="743">
        <f t="shared" si="49"/>
        <v>0</v>
      </c>
      <c r="F318" s="743">
        <f t="shared" si="49"/>
        <v>0</v>
      </c>
      <c r="G318" s="743">
        <f t="shared" si="49"/>
        <v>0</v>
      </c>
      <c r="H318" s="743">
        <f t="shared" si="49"/>
        <v>0</v>
      </c>
      <c r="I318" s="743">
        <f t="shared" si="49"/>
        <v>0</v>
      </c>
      <c r="J318" s="75">
        <f t="shared" si="46"/>
        <v>0</v>
      </c>
      <c r="K318" s="75">
        <f t="shared" si="47"/>
        <v>0</v>
      </c>
      <c r="L318" s="743">
        <f>SUM(L319:L328)</f>
        <v>0</v>
      </c>
      <c r="M318" s="771">
        <f>SUM(M319:M328)</f>
        <v>0</v>
      </c>
    </row>
    <row r="319" spans="1:13" ht="13.5" x14ac:dyDescent="0.25">
      <c r="A319" s="760" t="str">
        <f t="shared" si="44"/>
        <v>14.1 - [Name of sub-vote]</v>
      </c>
      <c r="B319" s="915"/>
      <c r="C319" s="389"/>
      <c r="D319" s="109"/>
      <c r="E319" s="109"/>
      <c r="F319" s="109"/>
      <c r="G319" s="109"/>
      <c r="H319" s="109"/>
      <c r="I319" s="109"/>
      <c r="J319" s="75">
        <f t="shared" si="46"/>
        <v>0</v>
      </c>
      <c r="K319" s="75">
        <f t="shared" si="47"/>
        <v>0</v>
      </c>
      <c r="L319" s="109"/>
      <c r="M319" s="110"/>
    </row>
    <row r="320" spans="1:13" ht="13.5" x14ac:dyDescent="0.25">
      <c r="A320" s="760">
        <f t="shared" si="44"/>
        <v>0</v>
      </c>
      <c r="B320" s="915"/>
      <c r="C320" s="389"/>
      <c r="D320" s="109"/>
      <c r="E320" s="109"/>
      <c r="F320" s="109"/>
      <c r="G320" s="109"/>
      <c r="H320" s="109"/>
      <c r="I320" s="109"/>
      <c r="J320" s="75">
        <f t="shared" si="46"/>
        <v>0</v>
      </c>
      <c r="K320" s="75">
        <f t="shared" si="47"/>
        <v>0</v>
      </c>
      <c r="L320" s="109"/>
      <c r="M320" s="110"/>
    </row>
    <row r="321" spans="1:13" ht="13.5" x14ac:dyDescent="0.25">
      <c r="A321" s="760">
        <f t="shared" si="44"/>
        <v>0</v>
      </c>
      <c r="B321" s="915"/>
      <c r="C321" s="389"/>
      <c r="D321" s="109"/>
      <c r="E321" s="109"/>
      <c r="F321" s="109"/>
      <c r="G321" s="109"/>
      <c r="H321" s="109"/>
      <c r="I321" s="109"/>
      <c r="J321" s="75">
        <f t="shared" si="46"/>
        <v>0</v>
      </c>
      <c r="K321" s="75">
        <f t="shared" si="47"/>
        <v>0</v>
      </c>
      <c r="L321" s="109"/>
      <c r="M321" s="110"/>
    </row>
    <row r="322" spans="1:13" ht="13.5" x14ac:dyDescent="0.25">
      <c r="A322" s="760">
        <f t="shared" si="44"/>
        <v>0</v>
      </c>
      <c r="B322" s="915"/>
      <c r="C322" s="389"/>
      <c r="D322" s="109"/>
      <c r="E322" s="109"/>
      <c r="F322" s="109"/>
      <c r="G322" s="109"/>
      <c r="H322" s="109"/>
      <c r="I322" s="109"/>
      <c r="J322" s="75">
        <f t="shared" si="46"/>
        <v>0</v>
      </c>
      <c r="K322" s="75">
        <f t="shared" si="47"/>
        <v>0</v>
      </c>
      <c r="L322" s="109"/>
      <c r="M322" s="110"/>
    </row>
    <row r="323" spans="1:13" ht="13.5" x14ac:dyDescent="0.25">
      <c r="A323" s="760">
        <f t="shared" si="44"/>
        <v>0</v>
      </c>
      <c r="B323" s="915"/>
      <c r="C323" s="389"/>
      <c r="D323" s="109"/>
      <c r="E323" s="109"/>
      <c r="F323" s="109"/>
      <c r="G323" s="109"/>
      <c r="H323" s="109"/>
      <c r="I323" s="109"/>
      <c r="J323" s="75">
        <f t="shared" si="46"/>
        <v>0</v>
      </c>
      <c r="K323" s="75">
        <f t="shared" si="47"/>
        <v>0</v>
      </c>
      <c r="L323" s="109"/>
      <c r="M323" s="110"/>
    </row>
    <row r="324" spans="1:13" ht="13.5" x14ac:dyDescent="0.25">
      <c r="A324" s="760">
        <f t="shared" si="44"/>
        <v>0</v>
      </c>
      <c r="B324" s="915"/>
      <c r="C324" s="389"/>
      <c r="D324" s="109"/>
      <c r="E324" s="109"/>
      <c r="F324" s="109"/>
      <c r="G324" s="109"/>
      <c r="H324" s="109"/>
      <c r="I324" s="109"/>
      <c r="J324" s="75">
        <f t="shared" si="46"/>
        <v>0</v>
      </c>
      <c r="K324" s="75">
        <f t="shared" si="47"/>
        <v>0</v>
      </c>
      <c r="L324" s="109"/>
      <c r="M324" s="110"/>
    </row>
    <row r="325" spans="1:13" ht="13.5" x14ac:dyDescent="0.25">
      <c r="A325" s="760">
        <f t="shared" si="44"/>
        <v>0</v>
      </c>
      <c r="B325" s="915"/>
      <c r="C325" s="389"/>
      <c r="D325" s="109"/>
      <c r="E325" s="109"/>
      <c r="F325" s="109"/>
      <c r="G325" s="109"/>
      <c r="H325" s="109"/>
      <c r="I325" s="109"/>
      <c r="J325" s="75">
        <f t="shared" si="46"/>
        <v>0</v>
      </c>
      <c r="K325" s="75">
        <f t="shared" si="47"/>
        <v>0</v>
      </c>
      <c r="L325" s="109"/>
      <c r="M325" s="110"/>
    </row>
    <row r="326" spans="1:13" ht="13.5" x14ac:dyDescent="0.25">
      <c r="A326" s="760">
        <f t="shared" si="44"/>
        <v>0</v>
      </c>
      <c r="B326" s="915"/>
      <c r="C326" s="389"/>
      <c r="D326" s="109"/>
      <c r="E326" s="109"/>
      <c r="F326" s="109"/>
      <c r="G326" s="109"/>
      <c r="H326" s="109"/>
      <c r="I326" s="109"/>
      <c r="J326" s="75">
        <f t="shared" si="46"/>
        <v>0</v>
      </c>
      <c r="K326" s="75">
        <f t="shared" si="47"/>
        <v>0</v>
      </c>
      <c r="L326" s="109"/>
      <c r="M326" s="110"/>
    </row>
    <row r="327" spans="1:13" ht="13.5" x14ac:dyDescent="0.25">
      <c r="A327" s="760">
        <f t="shared" si="44"/>
        <v>0</v>
      </c>
      <c r="B327" s="915"/>
      <c r="C327" s="389"/>
      <c r="D327" s="109"/>
      <c r="E327" s="109"/>
      <c r="F327" s="109"/>
      <c r="G327" s="109"/>
      <c r="H327" s="109"/>
      <c r="I327" s="109"/>
      <c r="J327" s="75">
        <f t="shared" si="46"/>
        <v>0</v>
      </c>
      <c r="K327" s="75">
        <f t="shared" si="47"/>
        <v>0</v>
      </c>
      <c r="L327" s="109"/>
      <c r="M327" s="110"/>
    </row>
    <row r="328" spans="1:13" ht="13.5" x14ac:dyDescent="0.25">
      <c r="A328" s="760">
        <f t="shared" si="44"/>
        <v>0</v>
      </c>
      <c r="B328" s="915"/>
      <c r="C328" s="389"/>
      <c r="D328" s="109"/>
      <c r="E328" s="109"/>
      <c r="F328" s="109"/>
      <c r="G328" s="109"/>
      <c r="H328" s="109"/>
      <c r="I328" s="109"/>
      <c r="J328" s="75">
        <f t="shared" si="46"/>
        <v>0</v>
      </c>
      <c r="K328" s="75">
        <f t="shared" si="47"/>
        <v>0</v>
      </c>
      <c r="L328" s="109"/>
      <c r="M328" s="110"/>
    </row>
    <row r="329" spans="1:13" ht="13.5" x14ac:dyDescent="0.25">
      <c r="A329" s="757" t="str">
        <f t="shared" si="44"/>
        <v>Vote 15 - [NAME OF VOTE 15]</v>
      </c>
      <c r="B329" s="915"/>
      <c r="C329" s="744">
        <f t="shared" ref="C329:I329" si="50">SUM(C330:C339)</f>
        <v>0</v>
      </c>
      <c r="D329" s="743">
        <f t="shared" si="50"/>
        <v>0</v>
      </c>
      <c r="E329" s="743">
        <f t="shared" si="50"/>
        <v>0</v>
      </c>
      <c r="F329" s="743">
        <f t="shared" si="50"/>
        <v>0</v>
      </c>
      <c r="G329" s="743">
        <f t="shared" si="50"/>
        <v>0</v>
      </c>
      <c r="H329" s="743">
        <f t="shared" si="50"/>
        <v>0</v>
      </c>
      <c r="I329" s="743">
        <f t="shared" si="50"/>
        <v>0</v>
      </c>
      <c r="J329" s="75">
        <f t="shared" si="46"/>
        <v>0</v>
      </c>
      <c r="K329" s="75">
        <f t="shared" si="47"/>
        <v>0</v>
      </c>
      <c r="L329" s="743">
        <f>SUM(L330:L339)</f>
        <v>0</v>
      </c>
      <c r="M329" s="771">
        <f>SUM(M330:M339)</f>
        <v>0</v>
      </c>
    </row>
    <row r="330" spans="1:13" ht="13.5" x14ac:dyDescent="0.25">
      <c r="A330" s="760" t="str">
        <f t="shared" si="44"/>
        <v>15.1 - [Name of sub-vote]</v>
      </c>
      <c r="B330" s="915"/>
      <c r="C330" s="389"/>
      <c r="D330" s="109"/>
      <c r="E330" s="109"/>
      <c r="F330" s="109"/>
      <c r="G330" s="109"/>
      <c r="H330" s="109"/>
      <c r="I330" s="109"/>
      <c r="J330" s="75">
        <f t="shared" si="46"/>
        <v>0</v>
      </c>
      <c r="K330" s="75">
        <f t="shared" si="47"/>
        <v>0</v>
      </c>
      <c r="L330" s="109"/>
      <c r="M330" s="110"/>
    </row>
    <row r="331" spans="1:13" ht="13.5" x14ac:dyDescent="0.25">
      <c r="A331" s="760">
        <f t="shared" si="44"/>
        <v>0</v>
      </c>
      <c r="B331" s="915"/>
      <c r="C331" s="389"/>
      <c r="D331" s="109"/>
      <c r="E331" s="109"/>
      <c r="F331" s="109"/>
      <c r="G331" s="109"/>
      <c r="H331" s="109"/>
      <c r="I331" s="109"/>
      <c r="J331" s="75">
        <f t="shared" si="46"/>
        <v>0</v>
      </c>
      <c r="K331" s="75">
        <f t="shared" si="47"/>
        <v>0</v>
      </c>
      <c r="L331" s="109"/>
      <c r="M331" s="110"/>
    </row>
    <row r="332" spans="1:13" ht="13.5" x14ac:dyDescent="0.25">
      <c r="A332" s="760">
        <f t="shared" si="44"/>
        <v>0</v>
      </c>
      <c r="B332" s="915"/>
      <c r="C332" s="389"/>
      <c r="D332" s="109"/>
      <c r="E332" s="109"/>
      <c r="F332" s="109"/>
      <c r="G332" s="109"/>
      <c r="H332" s="109"/>
      <c r="I332" s="109"/>
      <c r="J332" s="75">
        <f t="shared" si="46"/>
        <v>0</v>
      </c>
      <c r="K332" s="75">
        <f t="shared" si="47"/>
        <v>0</v>
      </c>
      <c r="L332" s="109"/>
      <c r="M332" s="110"/>
    </row>
    <row r="333" spans="1:13" ht="13.5" x14ac:dyDescent="0.25">
      <c r="A333" s="760">
        <f t="shared" si="44"/>
        <v>0</v>
      </c>
      <c r="B333" s="915"/>
      <c r="C333" s="389"/>
      <c r="D333" s="109"/>
      <c r="E333" s="109"/>
      <c r="F333" s="109"/>
      <c r="G333" s="109"/>
      <c r="H333" s="109"/>
      <c r="I333" s="109"/>
      <c r="J333" s="75">
        <f t="shared" si="46"/>
        <v>0</v>
      </c>
      <c r="K333" s="75">
        <f t="shared" si="47"/>
        <v>0</v>
      </c>
      <c r="L333" s="109"/>
      <c r="M333" s="110"/>
    </row>
    <row r="334" spans="1:13" ht="13.5" x14ac:dyDescent="0.25">
      <c r="A334" s="760">
        <f t="shared" si="44"/>
        <v>0</v>
      </c>
      <c r="B334" s="915"/>
      <c r="C334" s="389"/>
      <c r="D334" s="109"/>
      <c r="E334" s="109"/>
      <c r="F334" s="109"/>
      <c r="G334" s="109"/>
      <c r="H334" s="109"/>
      <c r="I334" s="109"/>
      <c r="J334" s="75">
        <f t="shared" si="46"/>
        <v>0</v>
      </c>
      <c r="K334" s="75">
        <f t="shared" si="47"/>
        <v>0</v>
      </c>
      <c r="L334" s="109"/>
      <c r="M334" s="110"/>
    </row>
    <row r="335" spans="1:13" ht="13.5" x14ac:dyDescent="0.25">
      <c r="A335" s="760">
        <f t="shared" si="44"/>
        <v>0</v>
      </c>
      <c r="B335" s="915"/>
      <c r="C335" s="389"/>
      <c r="D335" s="109"/>
      <c r="E335" s="109"/>
      <c r="F335" s="109"/>
      <c r="G335" s="109"/>
      <c r="H335" s="109"/>
      <c r="I335" s="109"/>
      <c r="J335" s="75">
        <f t="shared" si="46"/>
        <v>0</v>
      </c>
      <c r="K335" s="75">
        <f t="shared" si="47"/>
        <v>0</v>
      </c>
      <c r="L335" s="109"/>
      <c r="M335" s="110"/>
    </row>
    <row r="336" spans="1:13" ht="13.5" x14ac:dyDescent="0.25">
      <c r="A336" s="760">
        <f t="shared" si="44"/>
        <v>0</v>
      </c>
      <c r="B336" s="915"/>
      <c r="C336" s="389"/>
      <c r="D336" s="109"/>
      <c r="E336" s="109"/>
      <c r="F336" s="109"/>
      <c r="G336" s="109"/>
      <c r="H336" s="109"/>
      <c r="I336" s="109"/>
      <c r="J336" s="75">
        <f t="shared" si="46"/>
        <v>0</v>
      </c>
      <c r="K336" s="75">
        <f t="shared" si="47"/>
        <v>0</v>
      </c>
      <c r="L336" s="109"/>
      <c r="M336" s="110"/>
    </row>
    <row r="337" spans="1:13" ht="13.5" x14ac:dyDescent="0.25">
      <c r="A337" s="760">
        <f t="shared" si="44"/>
        <v>0</v>
      </c>
      <c r="B337" s="915"/>
      <c r="C337" s="389"/>
      <c r="D337" s="109"/>
      <c r="E337" s="109"/>
      <c r="F337" s="109"/>
      <c r="G337" s="109"/>
      <c r="H337" s="109"/>
      <c r="I337" s="109"/>
      <c r="J337" s="75">
        <f t="shared" si="46"/>
        <v>0</v>
      </c>
      <c r="K337" s="75">
        <f t="shared" si="47"/>
        <v>0</v>
      </c>
      <c r="L337" s="109"/>
      <c r="M337" s="110"/>
    </row>
    <row r="338" spans="1:13" ht="13.5" x14ac:dyDescent="0.25">
      <c r="A338" s="760">
        <f t="shared" si="44"/>
        <v>0</v>
      </c>
      <c r="B338" s="915"/>
      <c r="C338" s="389"/>
      <c r="D338" s="109"/>
      <c r="E338" s="109"/>
      <c r="F338" s="109"/>
      <c r="G338" s="109"/>
      <c r="H338" s="109"/>
      <c r="I338" s="109"/>
      <c r="J338" s="75">
        <f t="shared" si="46"/>
        <v>0</v>
      </c>
      <c r="K338" s="75">
        <f t="shared" si="47"/>
        <v>0</v>
      </c>
      <c r="L338" s="109"/>
      <c r="M338" s="110"/>
    </row>
    <row r="339" spans="1:13" ht="13.5" x14ac:dyDescent="0.25">
      <c r="A339" s="760">
        <f t="shared" si="44"/>
        <v>0</v>
      </c>
      <c r="B339" s="915"/>
      <c r="C339" s="389"/>
      <c r="D339" s="109"/>
      <c r="E339" s="109"/>
      <c r="F339" s="109"/>
      <c r="G339" s="109"/>
      <c r="H339" s="109"/>
      <c r="I339" s="109"/>
      <c r="J339" s="75">
        <f t="shared" si="46"/>
        <v>0</v>
      </c>
      <c r="K339" s="75">
        <f t="shared" si="47"/>
        <v>0</v>
      </c>
      <c r="L339" s="109"/>
      <c r="M339" s="110"/>
    </row>
    <row r="340" spans="1:13" ht="13.5" x14ac:dyDescent="0.25">
      <c r="A340" s="761" t="s">
        <v>609</v>
      </c>
      <c r="B340" s="915">
        <v>2</v>
      </c>
      <c r="C340" s="303">
        <f>C175+C186+C197+C208+C219+C230+C241+C252+C263+C285+C296+C307+C318+C329+C274</f>
        <v>1162471121.0799999</v>
      </c>
      <c r="D340" s="151">
        <f t="shared" ref="D340:I340" si="51">D175+D186+D197+D208+D219+D230+D241+D252+D263+D285+D296+D307+D318+D329+D274</f>
        <v>0</v>
      </c>
      <c r="E340" s="151">
        <f t="shared" si="51"/>
        <v>0</v>
      </c>
      <c r="F340" s="151">
        <f t="shared" si="51"/>
        <v>0</v>
      </c>
      <c r="G340" s="151">
        <f t="shared" si="51"/>
        <v>0</v>
      </c>
      <c r="H340" s="151">
        <f t="shared" si="51"/>
        <v>0</v>
      </c>
      <c r="I340" s="151">
        <f t="shared" si="51"/>
        <v>21668495</v>
      </c>
      <c r="J340" s="487">
        <f>SUM(E340:I340)</f>
        <v>21668495</v>
      </c>
      <c r="K340" s="487">
        <f>IF(D340=0,C340+J340,D340+J340)</f>
        <v>1184139616.0799999</v>
      </c>
      <c r="L340" s="151">
        <f>L175+L186+L197+L208+L219+L230+L241+L252+L263+L285+L296+L307+L318+L329+L274</f>
        <v>1220134066.6282003</v>
      </c>
      <c r="M340" s="152">
        <f>M175+M186+M197+M208+M219+M230+M241+M252+M263+M285+M296+M307+M318+M329+M274</f>
        <v>1278822450.977751</v>
      </c>
    </row>
    <row r="341" spans="1:13" ht="4.5" customHeight="1" x14ac:dyDescent="0.25">
      <c r="A341" s="136"/>
      <c r="B341" s="915"/>
      <c r="C341" s="483"/>
      <c r="D341" s="141"/>
      <c r="E341" s="141"/>
      <c r="F341" s="141"/>
      <c r="G341" s="141"/>
      <c r="H341" s="141"/>
      <c r="I341" s="141"/>
      <c r="J341" s="141"/>
      <c r="K341" s="141"/>
      <c r="L341" s="141"/>
      <c r="M341" s="142"/>
    </row>
    <row r="342" spans="1:13" ht="13.5" x14ac:dyDescent="0.25">
      <c r="A342" s="155" t="str">
        <f>result</f>
        <v>Surplus/ (Deficit) for the year</v>
      </c>
      <c r="B342" s="920">
        <v>2</v>
      </c>
      <c r="C342" s="700">
        <f t="shared" ref="C342:I342" si="52">C172-C340</f>
        <v>14316451.920000076</v>
      </c>
      <c r="D342" s="702">
        <f t="shared" si="52"/>
        <v>0</v>
      </c>
      <c r="E342" s="117">
        <f t="shared" si="52"/>
        <v>0</v>
      </c>
      <c r="F342" s="117">
        <f t="shared" si="52"/>
        <v>0</v>
      </c>
      <c r="G342" s="117">
        <f t="shared" si="52"/>
        <v>0</v>
      </c>
      <c r="H342" s="117">
        <f t="shared" si="52"/>
        <v>0</v>
      </c>
      <c r="I342" s="117">
        <f t="shared" si="52"/>
        <v>-22168495</v>
      </c>
      <c r="J342" s="776">
        <f>SUM(E342:I342)</f>
        <v>-22168495</v>
      </c>
      <c r="K342" s="776">
        <f>IF(D342=0,C342+J342,D342+J342)</f>
        <v>-7852043.0799999237</v>
      </c>
      <c r="L342" s="117">
        <f>L172-L340</f>
        <v>29905772.886799574</v>
      </c>
      <c r="M342" s="118">
        <f>M172-M340</f>
        <v>49427149.710573912</v>
      </c>
    </row>
    <row r="343" spans="1:13" ht="13.5" x14ac:dyDescent="0.25">
      <c r="A343" s="218" t="str">
        <f>head27a</f>
        <v>References</v>
      </c>
      <c r="B343" s="762"/>
      <c r="C343" s="763"/>
      <c r="D343" s="764"/>
      <c r="E343" s="764"/>
      <c r="F343" s="764"/>
      <c r="G343" s="764"/>
      <c r="H343" s="764"/>
      <c r="I343" s="764"/>
      <c r="J343" s="764"/>
      <c r="K343" s="764"/>
    </row>
    <row r="344" spans="1:13" ht="13.5" x14ac:dyDescent="0.25">
      <c r="A344" s="649" t="s">
        <v>1018</v>
      </c>
      <c r="B344" s="762"/>
      <c r="C344" s="765"/>
      <c r="D344" s="765"/>
      <c r="E344" s="766"/>
      <c r="F344" s="766"/>
      <c r="G344" s="766"/>
      <c r="H344" s="766"/>
      <c r="I344" s="766"/>
      <c r="J344" s="766"/>
      <c r="K344" s="766"/>
    </row>
    <row r="345" spans="1:13" ht="13.5" x14ac:dyDescent="0.25">
      <c r="A345" s="643" t="s">
        <v>1019</v>
      </c>
      <c r="B345" s="762"/>
      <c r="C345" s="765"/>
      <c r="D345" s="765"/>
      <c r="E345" s="766"/>
      <c r="F345" s="766"/>
      <c r="G345" s="766"/>
      <c r="H345" s="766"/>
      <c r="I345" s="766"/>
      <c r="J345" s="766"/>
      <c r="K345" s="766"/>
    </row>
    <row r="346" spans="1:13" ht="13.5" x14ac:dyDescent="0.25">
      <c r="A346" s="643" t="s">
        <v>1020</v>
      </c>
      <c r="B346" s="767"/>
      <c r="C346" s="768"/>
      <c r="D346" s="768"/>
      <c r="E346" s="769"/>
      <c r="F346" s="769"/>
      <c r="G346" s="769"/>
      <c r="H346" s="769"/>
      <c r="I346" s="769"/>
      <c r="J346" s="769"/>
      <c r="K346" s="769"/>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G36" sqref="G36"/>
    </sheetView>
  </sheetViews>
  <sheetFormatPr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LIM333 Greater Tzaneen - Table B4 Adjustments Budget Financial Performance (revenue and expenditure) - 27/02/2019</v>
      </c>
      <c r="B1" s="5"/>
      <c r="C1" s="58"/>
    </row>
    <row r="2" spans="1:22"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22"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4"/>
      <c r="B4" s="1394"/>
      <c r="C4" s="65"/>
      <c r="D4" s="15">
        <v>3</v>
      </c>
      <c r="E4" s="15">
        <v>4</v>
      </c>
      <c r="F4" s="15">
        <v>5</v>
      </c>
      <c r="G4" s="15">
        <v>6</v>
      </c>
      <c r="H4" s="15">
        <v>7</v>
      </c>
      <c r="I4" s="15">
        <v>8</v>
      </c>
      <c r="J4" s="15">
        <v>9</v>
      </c>
      <c r="K4" s="15">
        <v>10</v>
      </c>
      <c r="L4" s="15"/>
      <c r="M4" s="17"/>
    </row>
    <row r="5" spans="1:22" x14ac:dyDescent="0.25">
      <c r="A5" s="18" t="s">
        <v>605</v>
      </c>
      <c r="B5" s="124">
        <v>1</v>
      </c>
      <c r="C5" s="125" t="s">
        <v>548</v>
      </c>
      <c r="D5" s="20" t="s">
        <v>549</v>
      </c>
      <c r="E5" s="20" t="s">
        <v>550</v>
      </c>
      <c r="F5" s="21" t="s">
        <v>551</v>
      </c>
      <c r="G5" s="21" t="s">
        <v>552</v>
      </c>
      <c r="H5" s="21" t="s">
        <v>553</v>
      </c>
      <c r="I5" s="22" t="s">
        <v>554</v>
      </c>
      <c r="J5" s="22" t="s">
        <v>555</v>
      </c>
      <c r="K5" s="22" t="s">
        <v>556</v>
      </c>
      <c r="L5" s="22"/>
      <c r="M5" s="24"/>
    </row>
    <row r="6" spans="1:22" ht="12.75" customHeight="1" x14ac:dyDescent="0.25">
      <c r="A6" s="126" t="s">
        <v>640</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558</v>
      </c>
      <c r="B7" s="73">
        <v>2</v>
      </c>
      <c r="C7" s="131">
        <f>'SB1'!C10</f>
        <v>93800000</v>
      </c>
      <c r="D7" s="131">
        <f>'SB1'!D10</f>
        <v>0</v>
      </c>
      <c r="E7" s="131">
        <f>'SB1'!E10</f>
        <v>0</v>
      </c>
      <c r="F7" s="131">
        <f>'SB1'!F10</f>
        <v>0</v>
      </c>
      <c r="G7" s="131">
        <f>'SB1'!G10</f>
        <v>0</v>
      </c>
      <c r="H7" s="131">
        <f>'SB1'!H10</f>
        <v>0</v>
      </c>
      <c r="I7" s="131">
        <f>'SB1'!I10</f>
        <v>0</v>
      </c>
      <c r="J7" s="171">
        <f t="shared" ref="J7:J22" si="0">SUM(E7:I7)</f>
        <v>0</v>
      </c>
      <c r="K7" s="171">
        <f t="shared" ref="K7:K22" si="1">IF(D7=0,C7+J7,D7+J7)</f>
        <v>93800000</v>
      </c>
      <c r="L7" s="131">
        <f>'SB1'!L10</f>
        <v>98959000</v>
      </c>
      <c r="M7" s="133">
        <f>'SB1'!M10</f>
        <v>104401745</v>
      </c>
      <c r="N7" s="128"/>
      <c r="O7" s="128"/>
      <c r="P7" s="128"/>
      <c r="Q7" s="128"/>
      <c r="R7" s="128"/>
      <c r="S7" s="128"/>
      <c r="T7" s="128"/>
      <c r="U7" s="128"/>
      <c r="V7" s="128"/>
    </row>
    <row r="8" spans="1:22" ht="12.75" customHeight="1" x14ac:dyDescent="0.25">
      <c r="A8" s="129" t="s">
        <v>641</v>
      </c>
      <c r="B8" s="73">
        <v>2</v>
      </c>
      <c r="C8" s="131">
        <f>'SB1'!C16</f>
        <v>501351000</v>
      </c>
      <c r="D8" s="131">
        <f>'SB1'!D16</f>
        <v>0</v>
      </c>
      <c r="E8" s="131">
        <f>'SB1'!E16</f>
        <v>0</v>
      </c>
      <c r="F8" s="131">
        <f>'SB1'!F16</f>
        <v>0</v>
      </c>
      <c r="G8" s="131">
        <f>'SB1'!G16</f>
        <v>0</v>
      </c>
      <c r="H8" s="131">
        <f>'SB1'!H16</f>
        <v>0</v>
      </c>
      <c r="I8" s="131">
        <f>'SB1'!I16</f>
        <v>0</v>
      </c>
      <c r="J8" s="171">
        <f t="shared" si="0"/>
        <v>0</v>
      </c>
      <c r="K8" s="171">
        <f t="shared" si="1"/>
        <v>501351000</v>
      </c>
      <c r="L8" s="131">
        <f>'SB1'!L16</f>
        <v>528925305</v>
      </c>
      <c r="M8" s="133">
        <f>'SB1'!M16</f>
        <v>558016196.77499998</v>
      </c>
      <c r="N8" s="128"/>
      <c r="O8" s="128"/>
      <c r="P8" s="128"/>
      <c r="Q8" s="128"/>
      <c r="R8" s="128"/>
      <c r="S8" s="128"/>
      <c r="T8" s="128"/>
      <c r="U8" s="128"/>
      <c r="V8" s="128"/>
    </row>
    <row r="9" spans="1:22" ht="12.75" customHeight="1" x14ac:dyDescent="0.25">
      <c r="A9" s="129" t="s">
        <v>642</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643</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1159</v>
      </c>
      <c r="B11" s="73">
        <v>2</v>
      </c>
      <c r="C11" s="131">
        <f>'SB1'!C35</f>
        <v>30432000</v>
      </c>
      <c r="D11" s="132">
        <f>'SB1'!D35</f>
        <v>0</v>
      </c>
      <c r="E11" s="132">
        <f>'SB1'!E35</f>
        <v>0</v>
      </c>
      <c r="F11" s="132">
        <f>'SB1'!F35</f>
        <v>0</v>
      </c>
      <c r="G11" s="132">
        <f>'SB1'!G35</f>
        <v>0</v>
      </c>
      <c r="H11" s="132">
        <f>'SB1'!H35</f>
        <v>0</v>
      </c>
      <c r="I11" s="132">
        <f>'SB1'!I35</f>
        <v>0</v>
      </c>
      <c r="J11" s="75">
        <f t="shared" si="0"/>
        <v>0</v>
      </c>
      <c r="K11" s="75">
        <f t="shared" si="1"/>
        <v>30432000</v>
      </c>
      <c r="L11" s="132">
        <f>'SB1'!L35</f>
        <v>32105760</v>
      </c>
      <c r="M11" s="133">
        <f>'SB1'!M35</f>
        <v>33871576.799999997</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644</v>
      </c>
      <c r="B13" s="73"/>
      <c r="C13" s="130">
        <v>1772100</v>
      </c>
      <c r="D13" s="109"/>
      <c r="E13" s="109"/>
      <c r="F13" s="109"/>
      <c r="G13" s="109"/>
      <c r="H13" s="109"/>
      <c r="I13" s="109"/>
      <c r="J13" s="75">
        <f t="shared" si="0"/>
        <v>0</v>
      </c>
      <c r="K13" s="75">
        <f t="shared" si="1"/>
        <v>1772100</v>
      </c>
      <c r="L13" s="109">
        <v>1869565.5</v>
      </c>
      <c r="M13" s="110">
        <v>1972391.6025</v>
      </c>
      <c r="N13" s="128"/>
      <c r="O13" s="128"/>
      <c r="P13" s="128"/>
      <c r="Q13" s="128"/>
      <c r="R13" s="128"/>
      <c r="S13" s="128"/>
      <c r="T13" s="128"/>
      <c r="U13" s="128"/>
      <c r="V13" s="128"/>
    </row>
    <row r="14" spans="1:22" ht="12.75" customHeight="1" x14ac:dyDescent="0.25">
      <c r="A14" s="129" t="s">
        <v>645</v>
      </c>
      <c r="B14" s="73"/>
      <c r="C14" s="130">
        <v>3801000</v>
      </c>
      <c r="D14" s="109"/>
      <c r="E14" s="109"/>
      <c r="F14" s="109"/>
      <c r="G14" s="109"/>
      <c r="H14" s="109"/>
      <c r="I14" s="109"/>
      <c r="J14" s="75">
        <f t="shared" si="0"/>
        <v>0</v>
      </c>
      <c r="K14" s="75">
        <f t="shared" si="1"/>
        <v>3801000</v>
      </c>
      <c r="L14" s="109">
        <v>4010055</v>
      </c>
      <c r="M14" s="110">
        <v>4230608.0250000004</v>
      </c>
      <c r="N14" s="128"/>
      <c r="O14" s="128"/>
      <c r="P14" s="128"/>
      <c r="Q14" s="128"/>
      <c r="R14" s="128"/>
      <c r="S14" s="128"/>
      <c r="T14" s="128"/>
      <c r="U14" s="128"/>
      <c r="V14" s="128"/>
    </row>
    <row r="15" spans="1:22" ht="12.75" customHeight="1" x14ac:dyDescent="0.25">
      <c r="A15" s="129" t="s">
        <v>646</v>
      </c>
      <c r="B15" s="73"/>
      <c r="C15" s="130">
        <v>17000000</v>
      </c>
      <c r="D15" s="109"/>
      <c r="E15" s="109"/>
      <c r="F15" s="109"/>
      <c r="G15" s="109"/>
      <c r="H15" s="109"/>
      <c r="I15" s="109"/>
      <c r="J15" s="75">
        <f t="shared" si="0"/>
        <v>0</v>
      </c>
      <c r="K15" s="75">
        <f t="shared" si="1"/>
        <v>17000000</v>
      </c>
      <c r="L15" s="109">
        <v>17935000</v>
      </c>
      <c r="M15" s="110">
        <v>18921425</v>
      </c>
      <c r="N15" s="128"/>
      <c r="O15" s="128"/>
      <c r="P15" s="128"/>
      <c r="Q15" s="128"/>
      <c r="R15" s="128"/>
      <c r="S15" s="128"/>
      <c r="T15" s="128"/>
      <c r="U15" s="128"/>
      <c r="V15" s="128"/>
    </row>
    <row r="16" spans="1:22" ht="12.75" customHeight="1" x14ac:dyDescent="0.25">
      <c r="A16" s="129" t="s">
        <v>647</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1499</v>
      </c>
      <c r="B17" s="73"/>
      <c r="C17" s="130">
        <v>4501136</v>
      </c>
      <c r="D17" s="109"/>
      <c r="E17" s="109"/>
      <c r="F17" s="109"/>
      <c r="G17" s="109"/>
      <c r="H17" s="109"/>
      <c r="I17" s="109"/>
      <c r="J17" s="75">
        <f t="shared" si="0"/>
        <v>0</v>
      </c>
      <c r="K17" s="75">
        <f t="shared" si="1"/>
        <v>4501136</v>
      </c>
      <c r="L17" s="109">
        <v>4748698.4800000004</v>
      </c>
      <c r="M17" s="110">
        <v>5009876.8964</v>
      </c>
      <c r="N17" s="128"/>
      <c r="O17" s="128"/>
      <c r="P17" s="128"/>
      <c r="Q17" s="128"/>
      <c r="R17" s="128"/>
      <c r="S17" s="128"/>
      <c r="T17" s="128"/>
      <c r="U17" s="128"/>
      <c r="V17" s="128"/>
    </row>
    <row r="18" spans="1:22" ht="12.75" customHeight="1" x14ac:dyDescent="0.25">
      <c r="A18" s="129" t="s">
        <v>648</v>
      </c>
      <c r="B18" s="73"/>
      <c r="C18" s="130">
        <v>771000</v>
      </c>
      <c r="D18" s="109"/>
      <c r="E18" s="109"/>
      <c r="F18" s="109"/>
      <c r="G18" s="109"/>
      <c r="H18" s="109"/>
      <c r="I18" s="109"/>
      <c r="J18" s="75">
        <f t="shared" si="0"/>
        <v>0</v>
      </c>
      <c r="K18" s="75">
        <f t="shared" si="1"/>
        <v>771000</v>
      </c>
      <c r="L18" s="109">
        <v>813405</v>
      </c>
      <c r="M18" s="110">
        <v>858142.27500000002</v>
      </c>
      <c r="N18" s="128"/>
      <c r="O18" s="128"/>
      <c r="P18" s="128"/>
      <c r="Q18" s="128"/>
      <c r="R18" s="128"/>
      <c r="S18" s="128"/>
      <c r="T18" s="128"/>
      <c r="U18" s="128"/>
      <c r="V18" s="128"/>
    </row>
    <row r="19" spans="1:22" ht="12.75" customHeight="1" x14ac:dyDescent="0.25">
      <c r="A19" s="30" t="s">
        <v>649</v>
      </c>
      <c r="B19" s="73"/>
      <c r="C19" s="130">
        <v>51164291</v>
      </c>
      <c r="D19" s="109"/>
      <c r="E19" s="109"/>
      <c r="F19" s="109"/>
      <c r="G19" s="109"/>
      <c r="H19" s="109"/>
      <c r="I19" s="109"/>
      <c r="J19" s="75">
        <f t="shared" si="0"/>
        <v>0</v>
      </c>
      <c r="K19" s="75">
        <f t="shared" si="1"/>
        <v>51164291</v>
      </c>
      <c r="L19" s="109">
        <v>53978327.005000003</v>
      </c>
      <c r="M19" s="110">
        <v>56947134.990275003</v>
      </c>
      <c r="N19" s="128"/>
      <c r="O19" s="128"/>
      <c r="P19" s="128"/>
      <c r="Q19" s="128"/>
      <c r="R19" s="128"/>
      <c r="S19" s="128"/>
      <c r="T19" s="128"/>
      <c r="U19" s="128"/>
      <c r="V19" s="128"/>
    </row>
    <row r="20" spans="1:22" ht="12.75" customHeight="1" x14ac:dyDescent="0.25">
      <c r="A20" s="30" t="s">
        <v>1498</v>
      </c>
      <c r="B20" s="73"/>
      <c r="C20" s="130">
        <v>366610750</v>
      </c>
      <c r="D20" s="109"/>
      <c r="E20" s="109"/>
      <c r="F20" s="109"/>
      <c r="G20" s="109"/>
      <c r="H20" s="109"/>
      <c r="I20" s="109"/>
      <c r="J20" s="75">
        <f t="shared" si="0"/>
        <v>0</v>
      </c>
      <c r="K20" s="75">
        <f t="shared" si="1"/>
        <v>366610750</v>
      </c>
      <c r="L20" s="109">
        <v>398276150</v>
      </c>
      <c r="M20" s="110">
        <v>429446520</v>
      </c>
      <c r="N20" s="128"/>
      <c r="O20" s="128"/>
      <c r="P20" s="128"/>
      <c r="Q20" s="128"/>
      <c r="R20" s="128"/>
      <c r="S20" s="128"/>
      <c r="T20" s="128"/>
      <c r="U20" s="128"/>
      <c r="V20" s="128"/>
    </row>
    <row r="21" spans="1:22" ht="12.75" customHeight="1" x14ac:dyDescent="0.25">
      <c r="A21" s="30" t="s">
        <v>650</v>
      </c>
      <c r="B21" s="73">
        <v>2</v>
      </c>
      <c r="C21" s="131">
        <f>'SB1'!C50</f>
        <v>17885046</v>
      </c>
      <c r="D21" s="132">
        <f>'SB1'!D50</f>
        <v>0</v>
      </c>
      <c r="E21" s="132">
        <f>'SB1'!E50</f>
        <v>0</v>
      </c>
      <c r="F21" s="132">
        <f>'SB1'!F50</f>
        <v>0</v>
      </c>
      <c r="G21" s="132">
        <f>'SB1'!G50</f>
        <v>0</v>
      </c>
      <c r="H21" s="132">
        <f>'SB1'!H50</f>
        <v>0</v>
      </c>
      <c r="I21" s="132">
        <f>'SB1'!I50</f>
        <v>-500000</v>
      </c>
      <c r="J21" s="132">
        <f t="shared" si="0"/>
        <v>-500000</v>
      </c>
      <c r="K21" s="132">
        <f t="shared" si="1"/>
        <v>17385046</v>
      </c>
      <c r="L21" s="132">
        <f>'SB1'!L50</f>
        <v>18868723.530000001</v>
      </c>
      <c r="M21" s="133">
        <f>'SB1'!M50</f>
        <v>19906503.82415</v>
      </c>
      <c r="N21" s="128"/>
      <c r="O21" s="128"/>
      <c r="P21" s="128"/>
      <c r="Q21" s="128"/>
      <c r="R21" s="128"/>
      <c r="S21" s="128"/>
      <c r="T21" s="128"/>
      <c r="U21" s="128"/>
      <c r="V21" s="128"/>
    </row>
    <row r="22" spans="1:22" ht="12.75" customHeight="1" x14ac:dyDescent="0.25">
      <c r="A22" s="129" t="s">
        <v>651</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7" t="s">
        <v>562</v>
      </c>
      <c r="B23" s="648"/>
      <c r="C23" s="644">
        <f>SUM(C7:C11)+SUM(C13:C22)</f>
        <v>1089088323</v>
      </c>
      <c r="D23" s="645">
        <f t="shared" ref="D23:I23" si="2">SUM(D7:D11)+SUM(D13:D22)</f>
        <v>0</v>
      </c>
      <c r="E23" s="645">
        <f t="shared" si="2"/>
        <v>0</v>
      </c>
      <c r="F23" s="645">
        <f t="shared" si="2"/>
        <v>0</v>
      </c>
      <c r="G23" s="645">
        <f t="shared" si="2"/>
        <v>0</v>
      </c>
      <c r="H23" s="645">
        <f t="shared" si="2"/>
        <v>0</v>
      </c>
      <c r="I23" s="645">
        <f t="shared" si="2"/>
        <v>-500000</v>
      </c>
      <c r="J23" s="645">
        <f>SUM(J7:J11)+SUM(J13:J22)</f>
        <v>-500000</v>
      </c>
      <c r="K23" s="645">
        <f>SUM(K7:K11)+SUM(K13:K22)</f>
        <v>1088588323</v>
      </c>
      <c r="L23" s="645">
        <f>SUM(L7:L11)+SUM(L13:L22)</f>
        <v>1160489989.5149999</v>
      </c>
      <c r="M23" s="646">
        <f>SUM(M7:M11)+SUM(M13:M22)</f>
        <v>1233582121.1883249</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652</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653</v>
      </c>
      <c r="B26" s="137"/>
      <c r="C26" s="131">
        <f>'SB1'!C68</f>
        <v>343017085</v>
      </c>
      <c r="D26" s="132">
        <f>'SB1'!D68</f>
        <v>0</v>
      </c>
      <c r="E26" s="132">
        <f>'SB1'!E68</f>
        <v>0</v>
      </c>
      <c r="F26" s="132">
        <f>'SB1'!F68</f>
        <v>0</v>
      </c>
      <c r="G26" s="132">
        <f>'SB1'!G68</f>
        <v>0</v>
      </c>
      <c r="H26" s="132">
        <f>'SB1'!H68</f>
        <v>0</v>
      </c>
      <c r="I26" s="132">
        <f>'SB1'!I68</f>
        <v>-6058994</v>
      </c>
      <c r="J26" s="132">
        <f t="shared" ref="J26:J36" si="3">SUM(E26:I26)</f>
        <v>-6058994</v>
      </c>
      <c r="K26" s="132">
        <f t="shared" ref="K26:K36" si="4">IF(D26=0,C26+J26,D26+J26)</f>
        <v>336958091</v>
      </c>
      <c r="L26" s="132">
        <f>'SB1'!L68</f>
        <v>355490785.67500007</v>
      </c>
      <c r="M26" s="133">
        <f>'SB1'!M68</f>
        <v>375042780.03212506</v>
      </c>
      <c r="N26" s="128"/>
      <c r="O26" s="128"/>
      <c r="P26" s="128"/>
      <c r="Q26" s="128"/>
      <c r="R26" s="128"/>
      <c r="S26" s="128"/>
      <c r="T26" s="128"/>
      <c r="U26" s="128"/>
      <c r="V26" s="128"/>
    </row>
    <row r="27" spans="1:22" ht="12.75" customHeight="1" x14ac:dyDescent="0.25">
      <c r="A27" s="30" t="s">
        <v>564</v>
      </c>
      <c r="B27" s="137"/>
      <c r="C27" s="130">
        <v>27425152</v>
      </c>
      <c r="D27" s="109"/>
      <c r="E27" s="109"/>
      <c r="F27" s="109"/>
      <c r="G27" s="109"/>
      <c r="H27" s="109"/>
      <c r="I27" s="109">
        <v>-35419</v>
      </c>
      <c r="J27" s="75">
        <f t="shared" si="3"/>
        <v>-35419</v>
      </c>
      <c r="K27" s="75">
        <f t="shared" si="4"/>
        <v>27389733</v>
      </c>
      <c r="L27" s="109">
        <f>28933535.36-37367</f>
        <v>28896168.359999999</v>
      </c>
      <c r="M27" s="110">
        <f>30524879.8048-39422</f>
        <v>30485457.8048</v>
      </c>
      <c r="N27" s="128"/>
      <c r="O27" s="128"/>
      <c r="P27" s="128"/>
      <c r="Q27" s="128"/>
      <c r="R27" s="128"/>
      <c r="S27" s="128"/>
      <c r="T27" s="128"/>
      <c r="U27" s="128"/>
      <c r="V27" s="128"/>
    </row>
    <row r="28" spans="1:22" ht="12.75" customHeight="1" x14ac:dyDescent="0.25">
      <c r="A28" s="30" t="s">
        <v>654</v>
      </c>
      <c r="B28" s="137"/>
      <c r="C28" s="130">
        <v>29400000</v>
      </c>
      <c r="D28" s="109"/>
      <c r="E28" s="109"/>
      <c r="F28" s="109"/>
      <c r="G28" s="109"/>
      <c r="H28" s="109"/>
      <c r="I28" s="109"/>
      <c r="J28" s="75">
        <f t="shared" si="3"/>
        <v>0</v>
      </c>
      <c r="K28" s="75">
        <f t="shared" si="4"/>
        <v>29400000</v>
      </c>
      <c r="L28" s="109">
        <v>31017000</v>
      </c>
      <c r="M28" s="110">
        <v>32722935</v>
      </c>
      <c r="N28" s="128"/>
      <c r="O28" s="128"/>
      <c r="P28" s="128"/>
      <c r="Q28" s="128"/>
      <c r="R28" s="128"/>
      <c r="S28" s="128"/>
      <c r="T28" s="128"/>
      <c r="U28" s="128"/>
      <c r="V28" s="128"/>
    </row>
    <row r="29" spans="1:22" ht="12.75" customHeight="1" x14ac:dyDescent="0.25">
      <c r="A29" s="30" t="s">
        <v>565</v>
      </c>
      <c r="B29" s="137"/>
      <c r="C29" s="131">
        <f>'SB1'!C84</f>
        <v>133475495.84</v>
      </c>
      <c r="D29" s="132">
        <f>'SB1'!D84</f>
        <v>0</v>
      </c>
      <c r="E29" s="132">
        <f>'SB1'!E84</f>
        <v>0</v>
      </c>
      <c r="F29" s="132">
        <f>'SB1'!F84</f>
        <v>0</v>
      </c>
      <c r="G29" s="132">
        <f>'SB1'!G84</f>
        <v>0</v>
      </c>
      <c r="H29" s="132">
        <f>'SB1'!H84</f>
        <v>0</v>
      </c>
      <c r="I29" s="132">
        <f>'SB1'!I84</f>
        <v>0</v>
      </c>
      <c r="J29" s="132">
        <f t="shared" si="3"/>
        <v>0</v>
      </c>
      <c r="K29" s="132">
        <f t="shared" si="4"/>
        <v>133475495.84</v>
      </c>
      <c r="L29" s="132">
        <f>'SB1'!L84</f>
        <v>135403832</v>
      </c>
      <c r="M29" s="133">
        <f>'SB1'!M84</f>
        <v>138917142</v>
      </c>
      <c r="N29" s="128"/>
      <c r="O29" s="128"/>
      <c r="P29" s="128"/>
      <c r="Q29" s="128"/>
      <c r="R29" s="128"/>
      <c r="S29" s="128"/>
      <c r="T29" s="128"/>
      <c r="U29" s="128"/>
      <c r="V29" s="128"/>
    </row>
    <row r="30" spans="1:22" ht="12.75" customHeight="1" x14ac:dyDescent="0.25">
      <c r="A30" s="30" t="s">
        <v>566</v>
      </c>
      <c r="B30" s="137"/>
      <c r="C30" s="130">
        <v>26448557</v>
      </c>
      <c r="D30" s="109"/>
      <c r="E30" s="109"/>
      <c r="F30" s="109"/>
      <c r="G30" s="109"/>
      <c r="H30" s="109"/>
      <c r="I30" s="109"/>
      <c r="J30" s="75">
        <f t="shared" si="3"/>
        <v>0</v>
      </c>
      <c r="K30" s="75">
        <f t="shared" si="4"/>
        <v>26448557</v>
      </c>
      <c r="L30" s="109">
        <v>27903227.635000002</v>
      </c>
      <c r="M30" s="110">
        <v>29437905.154925004</v>
      </c>
      <c r="N30" s="128"/>
      <c r="O30" s="128"/>
      <c r="P30" s="128"/>
      <c r="Q30" s="128"/>
      <c r="R30" s="128"/>
      <c r="S30" s="128"/>
      <c r="T30" s="128"/>
      <c r="U30" s="128"/>
      <c r="V30" s="128"/>
    </row>
    <row r="31" spans="1:22" ht="12.75" customHeight="1" x14ac:dyDescent="0.25">
      <c r="A31" s="30" t="s">
        <v>655</v>
      </c>
      <c r="B31" s="137"/>
      <c r="C31" s="131">
        <f>'SB1'!C89</f>
        <v>340000000</v>
      </c>
      <c r="D31" s="132">
        <f>'SB1'!D89</f>
        <v>0</v>
      </c>
      <c r="E31" s="132">
        <f>'SB1'!E89</f>
        <v>0</v>
      </c>
      <c r="F31" s="132">
        <f>'SB1'!F89</f>
        <v>0</v>
      </c>
      <c r="G31" s="132">
        <f>'SB1'!G89</f>
        <v>0</v>
      </c>
      <c r="H31" s="132">
        <f>'SB1'!H89</f>
        <v>0</v>
      </c>
      <c r="I31" s="132">
        <f>'SB1'!I89</f>
        <v>0</v>
      </c>
      <c r="J31" s="138">
        <f t="shared" si="3"/>
        <v>0</v>
      </c>
      <c r="K31" s="138">
        <f t="shared" si="4"/>
        <v>340000000</v>
      </c>
      <c r="L31" s="132">
        <f>'SB1'!L89</f>
        <v>358700000</v>
      </c>
      <c r="M31" s="133">
        <f>'SB1'!M89</f>
        <v>378428500</v>
      </c>
      <c r="N31" s="128"/>
      <c r="O31" s="128"/>
      <c r="P31" s="128"/>
      <c r="Q31" s="128"/>
      <c r="R31" s="128"/>
      <c r="S31" s="128"/>
      <c r="T31" s="128"/>
      <c r="U31" s="128"/>
      <c r="V31" s="128"/>
    </row>
    <row r="32" spans="1:22" ht="12.75" customHeight="1" x14ac:dyDescent="0.25">
      <c r="A32" s="30" t="s">
        <v>656</v>
      </c>
      <c r="B32" s="137"/>
      <c r="C32" s="130">
        <v>51180124.620000005</v>
      </c>
      <c r="D32" s="109"/>
      <c r="E32" s="109"/>
      <c r="F32" s="109"/>
      <c r="G32" s="109"/>
      <c r="H32" s="109"/>
      <c r="I32" s="109">
        <f>3000000+200000-29987+849687+5781707+13133606.72</f>
        <v>22935013.719999999</v>
      </c>
      <c r="J32" s="75">
        <f t="shared" si="3"/>
        <v>22935013.719999999</v>
      </c>
      <c r="K32" s="75">
        <f t="shared" si="4"/>
        <v>74115138.340000004</v>
      </c>
      <c r="L32" s="109">
        <f>53995031.4741+6099701+13855955</f>
        <v>73950687.474099994</v>
      </c>
      <c r="M32" s="110">
        <f>56964758.2051755+6435185+14618033</f>
        <v>78017976.205175489</v>
      </c>
      <c r="N32" s="128"/>
      <c r="O32" s="128"/>
      <c r="P32" s="128"/>
      <c r="Q32" s="128"/>
      <c r="R32" s="128"/>
      <c r="S32" s="128"/>
      <c r="T32" s="128"/>
      <c r="U32" s="128"/>
      <c r="V32" s="128"/>
    </row>
    <row r="33" spans="1:22" ht="12.75" customHeight="1" x14ac:dyDescent="0.25">
      <c r="A33" s="30" t="s">
        <v>657</v>
      </c>
      <c r="B33" s="137"/>
      <c r="C33" s="131">
        <f>'SB1'!C128</f>
        <v>54066372</v>
      </c>
      <c r="D33" s="131">
        <f>'SB1'!D128</f>
        <v>0</v>
      </c>
      <c r="E33" s="131">
        <f>'SB1'!E128</f>
        <v>0</v>
      </c>
      <c r="F33" s="131">
        <f>'SB1'!F128</f>
        <v>0</v>
      </c>
      <c r="G33" s="131">
        <f>'SB1'!G128</f>
        <v>0</v>
      </c>
      <c r="H33" s="131">
        <f>'SB1'!H128</f>
        <v>0</v>
      </c>
      <c r="I33" s="131">
        <f>'SB1'!I128</f>
        <v>3000000</v>
      </c>
      <c r="J33" s="132">
        <f t="shared" si="3"/>
        <v>3000000</v>
      </c>
      <c r="K33" s="132">
        <f t="shared" si="4"/>
        <v>57066372</v>
      </c>
      <c r="L33" s="132">
        <f>'SB1'!L128</f>
        <v>57040022.459999993</v>
      </c>
      <c r="M33" s="133">
        <f>'SB1'!M128</f>
        <v>60177223.695299998</v>
      </c>
      <c r="N33" s="128"/>
      <c r="O33" s="128"/>
      <c r="P33" s="128"/>
      <c r="Q33" s="128"/>
      <c r="R33" s="128"/>
      <c r="S33" s="128"/>
      <c r="T33" s="128"/>
      <c r="U33" s="128"/>
      <c r="V33" s="128"/>
    </row>
    <row r="34" spans="1:22" ht="12.75" customHeight="1" x14ac:dyDescent="0.25">
      <c r="A34" s="30" t="s">
        <v>1498</v>
      </c>
      <c r="B34" s="137"/>
      <c r="C34" s="130">
        <v>30804673</v>
      </c>
      <c r="D34" s="109"/>
      <c r="E34" s="109"/>
      <c r="F34" s="109"/>
      <c r="G34" s="109"/>
      <c r="H34" s="109"/>
      <c r="I34" s="109"/>
      <c r="J34" s="75">
        <f t="shared" si="3"/>
        <v>0</v>
      </c>
      <c r="K34" s="75">
        <f t="shared" si="4"/>
        <v>30804673</v>
      </c>
      <c r="L34" s="109">
        <v>25695545.015000001</v>
      </c>
      <c r="M34" s="110">
        <v>22613584.990825001</v>
      </c>
      <c r="N34" s="128"/>
      <c r="O34" s="128"/>
      <c r="P34" s="128"/>
      <c r="Q34" s="128"/>
      <c r="R34" s="128"/>
      <c r="S34" s="128"/>
      <c r="T34" s="128"/>
      <c r="U34" s="128"/>
      <c r="V34" s="128"/>
    </row>
    <row r="35" spans="1:22" ht="12.75" customHeight="1" x14ac:dyDescent="0.25">
      <c r="A35" s="30" t="s">
        <v>569</v>
      </c>
      <c r="B35" s="137"/>
      <c r="C35" s="131">
        <f>'SB1'!C158</f>
        <v>126653661.62</v>
      </c>
      <c r="D35" s="132">
        <f>'SB1'!D158</f>
        <v>0</v>
      </c>
      <c r="E35" s="132">
        <f>'SB1'!E158</f>
        <v>0</v>
      </c>
      <c r="F35" s="132">
        <f>'SB1'!F158</f>
        <v>0</v>
      </c>
      <c r="G35" s="132">
        <f>'SB1'!G158</f>
        <v>0</v>
      </c>
      <c r="H35" s="132">
        <f>'SB1'!H158</f>
        <v>0</v>
      </c>
      <c r="I35" s="132">
        <f>'SB1'!I158</f>
        <v>1827894.2799999993</v>
      </c>
      <c r="J35" s="75">
        <f t="shared" si="3"/>
        <v>1827894.2799999993</v>
      </c>
      <c r="K35" s="75">
        <f t="shared" si="4"/>
        <v>128481555.90000001</v>
      </c>
      <c r="L35" s="132">
        <f>'SB1'!L158</f>
        <v>126036797.84449999</v>
      </c>
      <c r="M35" s="133">
        <f>'SB1'!M158</f>
        <v>132978945.66594747</v>
      </c>
      <c r="N35" s="128"/>
      <c r="O35" s="128"/>
      <c r="P35" s="128"/>
      <c r="Q35" s="128"/>
      <c r="R35" s="128"/>
      <c r="S35" s="128"/>
      <c r="T35" s="128"/>
      <c r="U35" s="128"/>
      <c r="V35" s="128"/>
    </row>
    <row r="36" spans="1:22" ht="12.75" customHeight="1" x14ac:dyDescent="0.25">
      <c r="A36" s="30" t="s">
        <v>659</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570</v>
      </c>
      <c r="B37" s="79"/>
      <c r="C37" s="80">
        <f t="shared" ref="C37:M37" si="5">SUM(C26:C36)</f>
        <v>1162471121.0799999</v>
      </c>
      <c r="D37" s="81">
        <f t="shared" si="5"/>
        <v>0</v>
      </c>
      <c r="E37" s="81">
        <f t="shared" si="5"/>
        <v>0</v>
      </c>
      <c r="F37" s="81">
        <f t="shared" si="5"/>
        <v>0</v>
      </c>
      <c r="G37" s="81">
        <f t="shared" si="5"/>
        <v>0</v>
      </c>
      <c r="H37" s="81">
        <f t="shared" si="5"/>
        <v>0</v>
      </c>
      <c r="I37" s="81">
        <f t="shared" si="5"/>
        <v>21668495</v>
      </c>
      <c r="J37" s="81">
        <f t="shared" si="5"/>
        <v>21668495</v>
      </c>
      <c r="K37" s="81">
        <f t="shared" si="5"/>
        <v>1184139616.0800002</v>
      </c>
      <c r="L37" s="81">
        <f t="shared" si="5"/>
        <v>1220134066.4636002</v>
      </c>
      <c r="M37" s="82">
        <f t="shared" si="5"/>
        <v>1278822450.549098</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571</v>
      </c>
      <c r="B39" s="73"/>
      <c r="C39" s="140">
        <f t="shared" ref="C39:M39" si="6">C23-C37</f>
        <v>-73382798.079999924</v>
      </c>
      <c r="D39" s="141">
        <f t="shared" si="6"/>
        <v>0</v>
      </c>
      <c r="E39" s="141">
        <f t="shared" si="6"/>
        <v>0</v>
      </c>
      <c r="F39" s="141">
        <f t="shared" si="6"/>
        <v>0</v>
      </c>
      <c r="G39" s="141">
        <f t="shared" si="6"/>
        <v>0</v>
      </c>
      <c r="H39" s="141">
        <f t="shared" si="6"/>
        <v>0</v>
      </c>
      <c r="I39" s="141">
        <f t="shared" si="6"/>
        <v>-22168495</v>
      </c>
      <c r="J39" s="141">
        <f t="shared" si="6"/>
        <v>-22168495</v>
      </c>
      <c r="K39" s="141">
        <f t="shared" si="6"/>
        <v>-95551293.080000162</v>
      </c>
      <c r="L39" s="141">
        <f t="shared" si="6"/>
        <v>-59644076.948600292</v>
      </c>
      <c r="M39" s="142">
        <f t="shared" si="6"/>
        <v>-45240329.360773087</v>
      </c>
      <c r="N39" s="128"/>
      <c r="O39" s="128"/>
      <c r="P39" s="128"/>
      <c r="Q39" s="128"/>
      <c r="R39" s="128"/>
      <c r="S39" s="128"/>
      <c r="T39" s="128"/>
      <c r="U39" s="128"/>
      <c r="V39" s="128"/>
    </row>
    <row r="40" spans="1:22" ht="23.65" customHeight="1" x14ac:dyDescent="0.25">
      <c r="A40" s="1236" t="s">
        <v>1495</v>
      </c>
      <c r="B40" s="73"/>
      <c r="C40" s="130">
        <v>87699250</v>
      </c>
      <c r="D40" s="109"/>
      <c r="E40" s="109"/>
      <c r="F40" s="109"/>
      <c r="G40" s="109"/>
      <c r="H40" s="109"/>
      <c r="I40" s="109"/>
      <c r="J40" s="75">
        <f>SUM(E40:I40)</f>
        <v>0</v>
      </c>
      <c r="K40" s="75">
        <f>IF(D40=0,C40+J40,D40+J40)</f>
        <v>87699250</v>
      </c>
      <c r="L40" s="109">
        <v>89549850</v>
      </c>
      <c r="M40" s="110">
        <v>94667480</v>
      </c>
      <c r="N40" s="128"/>
      <c r="O40" s="128"/>
      <c r="P40" s="128"/>
      <c r="Q40" s="128"/>
      <c r="R40" s="128"/>
      <c r="S40" s="128"/>
      <c r="T40" s="128"/>
      <c r="U40" s="128"/>
      <c r="V40" s="128"/>
    </row>
    <row r="41" spans="1:22" ht="43.15" customHeight="1" x14ac:dyDescent="0.25">
      <c r="A41" s="1236" t="s">
        <v>1496</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1497</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660</v>
      </c>
      <c r="B43" s="73"/>
      <c r="C43" s="146">
        <f t="shared" ref="C43:M43" si="7">SUM(C39:C42)</f>
        <v>14316451.920000076</v>
      </c>
      <c r="D43" s="147">
        <f t="shared" si="7"/>
        <v>0</v>
      </c>
      <c r="E43" s="147">
        <f t="shared" si="7"/>
        <v>0</v>
      </c>
      <c r="F43" s="147">
        <f t="shared" si="7"/>
        <v>0</v>
      </c>
      <c r="G43" s="147">
        <f t="shared" si="7"/>
        <v>0</v>
      </c>
      <c r="H43" s="147">
        <f t="shared" si="7"/>
        <v>0</v>
      </c>
      <c r="I43" s="147">
        <f t="shared" si="7"/>
        <v>-22168495</v>
      </c>
      <c r="J43" s="147">
        <f t="shared" si="7"/>
        <v>-22168495</v>
      </c>
      <c r="K43" s="147">
        <f t="shared" si="7"/>
        <v>-7852043.0800001621</v>
      </c>
      <c r="L43" s="147">
        <f t="shared" si="7"/>
        <v>29905773.051399708</v>
      </c>
      <c r="M43" s="148">
        <f t="shared" si="7"/>
        <v>49427150.639226913</v>
      </c>
      <c r="N43" s="128"/>
      <c r="O43" s="128"/>
      <c r="P43" s="128"/>
      <c r="Q43" s="128"/>
      <c r="R43" s="128"/>
      <c r="S43" s="128"/>
      <c r="T43" s="128"/>
      <c r="U43" s="128"/>
      <c r="V43" s="128"/>
    </row>
    <row r="44" spans="1:22" ht="12.75" customHeight="1" x14ac:dyDescent="0.25">
      <c r="A44" s="129" t="s">
        <v>661</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662</v>
      </c>
      <c r="B45" s="149"/>
      <c r="C45" s="150">
        <f t="shared" ref="C45:M45" si="8">C43-C44</f>
        <v>14316451.920000076</v>
      </c>
      <c r="D45" s="151">
        <f t="shared" si="8"/>
        <v>0</v>
      </c>
      <c r="E45" s="151">
        <f t="shared" si="8"/>
        <v>0</v>
      </c>
      <c r="F45" s="151">
        <f t="shared" si="8"/>
        <v>0</v>
      </c>
      <c r="G45" s="151">
        <f t="shared" si="8"/>
        <v>0</v>
      </c>
      <c r="H45" s="151">
        <f t="shared" si="8"/>
        <v>0</v>
      </c>
      <c r="I45" s="151">
        <f t="shared" si="8"/>
        <v>-22168495</v>
      </c>
      <c r="J45" s="151">
        <f t="shared" si="8"/>
        <v>-22168495</v>
      </c>
      <c r="K45" s="151">
        <f t="shared" si="8"/>
        <v>-7852043.0800001621</v>
      </c>
      <c r="L45" s="151">
        <f t="shared" si="8"/>
        <v>29905773.051399708</v>
      </c>
      <c r="M45" s="152">
        <f t="shared" si="8"/>
        <v>49427150.639226913</v>
      </c>
      <c r="N45" s="128"/>
      <c r="O45" s="128"/>
      <c r="P45" s="128"/>
      <c r="Q45" s="128"/>
      <c r="R45" s="128"/>
      <c r="S45" s="128"/>
      <c r="T45" s="128"/>
      <c r="U45" s="128"/>
      <c r="V45" s="128"/>
    </row>
    <row r="46" spans="1:22" ht="12.75" customHeight="1" x14ac:dyDescent="0.25">
      <c r="A46" s="129" t="s">
        <v>663</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1045</v>
      </c>
      <c r="B47" s="73"/>
      <c r="C47" s="146">
        <f t="shared" ref="C47:M47" si="9">SUM(C45:C46)</f>
        <v>14316451.920000076</v>
      </c>
      <c r="D47" s="147">
        <f t="shared" si="9"/>
        <v>0</v>
      </c>
      <c r="E47" s="147">
        <f t="shared" si="9"/>
        <v>0</v>
      </c>
      <c r="F47" s="147">
        <f t="shared" si="9"/>
        <v>0</v>
      </c>
      <c r="G47" s="147">
        <f t="shared" si="9"/>
        <v>0</v>
      </c>
      <c r="H47" s="147">
        <f t="shared" si="9"/>
        <v>0</v>
      </c>
      <c r="I47" s="147">
        <f t="shared" si="9"/>
        <v>-22168495</v>
      </c>
      <c r="J47" s="147">
        <f t="shared" si="9"/>
        <v>-22168495</v>
      </c>
      <c r="K47" s="147">
        <f t="shared" si="9"/>
        <v>-7852043.0800001621</v>
      </c>
      <c r="L47" s="147">
        <f t="shared" si="9"/>
        <v>29905773.051399708</v>
      </c>
      <c r="M47" s="148">
        <f t="shared" si="9"/>
        <v>49427150.639226913</v>
      </c>
      <c r="N47" s="128"/>
      <c r="O47" s="128"/>
      <c r="P47" s="128"/>
      <c r="Q47" s="128"/>
      <c r="R47" s="128"/>
      <c r="S47" s="128"/>
      <c r="T47" s="128"/>
      <c r="U47" s="128"/>
      <c r="V47" s="128"/>
    </row>
    <row r="48" spans="1:22" ht="12.75" customHeight="1" x14ac:dyDescent="0.25">
      <c r="A48" s="153" t="s">
        <v>574</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575</v>
      </c>
      <c r="B49" s="156"/>
      <c r="C49" s="157">
        <f t="shared" ref="C49:M49" si="10">C47+C48</f>
        <v>14316451.920000076</v>
      </c>
      <c r="D49" s="117">
        <f t="shared" si="10"/>
        <v>0</v>
      </c>
      <c r="E49" s="117">
        <f t="shared" si="10"/>
        <v>0</v>
      </c>
      <c r="F49" s="117">
        <f t="shared" si="10"/>
        <v>0</v>
      </c>
      <c r="G49" s="117">
        <f t="shared" si="10"/>
        <v>0</v>
      </c>
      <c r="H49" s="117">
        <f t="shared" si="10"/>
        <v>0</v>
      </c>
      <c r="I49" s="117">
        <f t="shared" si="10"/>
        <v>-22168495</v>
      </c>
      <c r="J49" s="117">
        <f t="shared" si="10"/>
        <v>-22168495</v>
      </c>
      <c r="K49" s="117">
        <f t="shared" si="10"/>
        <v>-7852043.0800001621</v>
      </c>
      <c r="L49" s="117">
        <f t="shared" si="10"/>
        <v>29905773.051399708</v>
      </c>
      <c r="M49" s="118">
        <f t="shared" si="10"/>
        <v>49427150.639226913</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664</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1046</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5" t="s">
        <v>994</v>
      </c>
      <c r="B53" s="1395"/>
      <c r="C53" s="1395"/>
      <c r="D53" s="1395"/>
      <c r="E53" s="1395"/>
      <c r="F53" s="1395"/>
      <c r="G53" s="1395"/>
      <c r="H53" s="1395"/>
      <c r="I53" s="1395"/>
      <c r="J53" s="1395"/>
      <c r="K53" s="1395"/>
      <c r="L53" s="1395"/>
      <c r="M53" s="1395"/>
      <c r="N53" s="128"/>
      <c r="O53" s="128"/>
      <c r="P53" s="128"/>
      <c r="Q53" s="128"/>
      <c r="R53" s="128"/>
      <c r="S53" s="128"/>
      <c r="T53" s="128"/>
      <c r="U53" s="128"/>
      <c r="V53" s="128"/>
    </row>
    <row r="54" spans="1:22" ht="27.75" customHeight="1" x14ac:dyDescent="0.25">
      <c r="A54" s="1395" t="s">
        <v>1038</v>
      </c>
      <c r="B54" s="1395"/>
      <c r="C54" s="1395"/>
      <c r="D54" s="1395"/>
      <c r="E54" s="1395"/>
      <c r="F54" s="1395"/>
      <c r="G54" s="1395"/>
      <c r="H54" s="1395"/>
      <c r="I54" s="1395"/>
      <c r="J54" s="1395"/>
      <c r="K54" s="1395"/>
      <c r="L54" s="1395"/>
      <c r="M54" s="1395"/>
      <c r="N54" s="128"/>
      <c r="O54" s="128"/>
      <c r="P54" s="128"/>
      <c r="Q54" s="128"/>
      <c r="R54" s="128"/>
      <c r="S54" s="128"/>
      <c r="T54" s="128"/>
      <c r="U54" s="128"/>
      <c r="V54" s="128"/>
    </row>
    <row r="55" spans="1:22" ht="12.75" customHeight="1" x14ac:dyDescent="0.25">
      <c r="A55" s="1389" t="s">
        <v>1039</v>
      </c>
      <c r="B55" s="1395"/>
      <c r="C55" s="1389"/>
      <c r="D55" s="1389"/>
      <c r="E55" s="1389"/>
      <c r="F55" s="1389"/>
      <c r="G55" s="1389"/>
      <c r="H55" s="1389"/>
      <c r="I55" s="1389"/>
      <c r="J55" s="1389"/>
      <c r="K55" s="1389"/>
      <c r="L55" s="1389"/>
      <c r="M55" s="1389"/>
      <c r="N55" s="128"/>
      <c r="O55" s="128"/>
      <c r="P55" s="128"/>
      <c r="Q55" s="128"/>
      <c r="R55" s="128"/>
      <c r="S55" s="128"/>
      <c r="T55" s="128"/>
      <c r="U55" s="128"/>
      <c r="V55" s="128"/>
    </row>
    <row r="56" spans="1:22" ht="12.75" customHeight="1" x14ac:dyDescent="0.25">
      <c r="A56" s="1389" t="s">
        <v>1040</v>
      </c>
      <c r="B56" s="1389"/>
      <c r="C56" s="1389"/>
      <c r="D56" s="1389"/>
      <c r="E56" s="1389"/>
      <c r="F56" s="1389"/>
      <c r="G56" s="1389"/>
      <c r="H56" s="1389"/>
      <c r="I56" s="1389"/>
      <c r="J56" s="1389"/>
      <c r="K56" s="1389"/>
      <c r="L56" s="1389"/>
      <c r="M56" s="1389"/>
      <c r="N56" s="128"/>
      <c r="O56" s="128"/>
      <c r="P56" s="128"/>
      <c r="Q56" s="128"/>
      <c r="R56" s="128"/>
      <c r="S56" s="128"/>
      <c r="T56" s="128"/>
      <c r="U56" s="128"/>
      <c r="V56" s="128"/>
    </row>
    <row r="57" spans="1:22" ht="12.75" customHeight="1" x14ac:dyDescent="0.25">
      <c r="A57" s="99" t="s">
        <v>1041</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89" t="s">
        <v>1042</v>
      </c>
      <c r="B58" s="1389"/>
      <c r="C58" s="1389"/>
      <c r="D58" s="1389"/>
      <c r="E58" s="1389"/>
      <c r="F58" s="1389"/>
      <c r="G58" s="1389"/>
      <c r="H58" s="1389"/>
      <c r="I58" s="1389"/>
      <c r="J58" s="1389"/>
      <c r="K58" s="1389"/>
      <c r="L58" s="1389"/>
      <c r="M58" s="1389"/>
      <c r="N58" s="128"/>
      <c r="O58" s="128"/>
      <c r="P58" s="128"/>
      <c r="Q58" s="128"/>
      <c r="R58" s="128"/>
      <c r="S58" s="128"/>
      <c r="T58" s="128"/>
      <c r="U58" s="128"/>
      <c r="V58" s="128"/>
    </row>
    <row r="59" spans="1:22" ht="12.75" customHeight="1" x14ac:dyDescent="0.25">
      <c r="A59" s="99" t="s">
        <v>610</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89" t="s">
        <v>611</v>
      </c>
      <c r="B60" s="1404"/>
      <c r="C60" s="1404"/>
      <c r="D60" s="1404"/>
      <c r="E60" s="1404"/>
      <c r="F60" s="1404"/>
      <c r="G60" s="1404"/>
      <c r="H60" s="1404"/>
      <c r="I60" s="1404"/>
      <c r="J60" s="1404"/>
      <c r="K60" s="1404"/>
      <c r="L60" s="1404"/>
      <c r="M60" s="1389"/>
      <c r="N60" s="128"/>
      <c r="O60" s="128"/>
      <c r="P60" s="128"/>
      <c r="Q60" s="128"/>
      <c r="R60" s="128"/>
      <c r="S60" s="128"/>
      <c r="T60" s="128"/>
      <c r="U60" s="128"/>
      <c r="V60" s="128"/>
    </row>
    <row r="61" spans="1:22" ht="11.25" customHeight="1" x14ac:dyDescent="0.25">
      <c r="A61" s="1405"/>
      <c r="B61" s="1405"/>
      <c r="C61" s="1405"/>
      <c r="D61" s="1405"/>
      <c r="E61" s="1405"/>
      <c r="F61" s="1405"/>
      <c r="G61" s="1405"/>
      <c r="H61" s="1405"/>
      <c r="I61" s="1405"/>
      <c r="J61" s="1405"/>
      <c r="K61" s="1405"/>
      <c r="L61" s="1405"/>
      <c r="M61" s="1405"/>
      <c r="N61" s="128"/>
      <c r="O61" s="128"/>
      <c r="P61" s="128"/>
      <c r="Q61" s="128"/>
      <c r="R61" s="128"/>
      <c r="S61" s="128"/>
      <c r="T61" s="128"/>
      <c r="U61" s="128"/>
      <c r="V61" s="128"/>
    </row>
    <row r="62" spans="1:22" ht="11.25" customHeight="1" x14ac:dyDescent="0.25">
      <c r="A62" s="122" t="s">
        <v>665</v>
      </c>
      <c r="B62" s="93"/>
      <c r="C62" s="102">
        <f t="shared" ref="C62:M62" si="11">C23+C40+C41+C42</f>
        <v>1176787573</v>
      </c>
      <c r="D62" s="102">
        <f t="shared" si="11"/>
        <v>0</v>
      </c>
      <c r="E62" s="102">
        <f t="shared" si="11"/>
        <v>0</v>
      </c>
      <c r="F62" s="102">
        <f t="shared" si="11"/>
        <v>0</v>
      </c>
      <c r="G62" s="102">
        <f t="shared" si="11"/>
        <v>0</v>
      </c>
      <c r="H62" s="102">
        <f t="shared" si="11"/>
        <v>0</v>
      </c>
      <c r="I62" s="102">
        <f t="shared" si="11"/>
        <v>-500000</v>
      </c>
      <c r="J62" s="102">
        <f t="shared" si="11"/>
        <v>-500000</v>
      </c>
      <c r="K62" s="102">
        <f t="shared" si="11"/>
        <v>1176287573</v>
      </c>
      <c r="L62" s="102">
        <f t="shared" si="11"/>
        <v>1250039839.5149999</v>
      </c>
      <c r="M62" s="102">
        <f t="shared" si="11"/>
        <v>1328249601.1883249</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58" activePane="bottomRight" state="frozen"/>
      <selection activeCell="C6" sqref="C6"/>
      <selection pane="topRight" activeCell="C6" sqref="C6"/>
      <selection pane="bottomLeft" activeCell="C6" sqref="C6"/>
      <selection pane="bottomRight" activeCell="K76" sqref="K76"/>
    </sheetView>
  </sheetViews>
  <sheetFormatPr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LIM333 Greater Tzaneen - Table B5 Adjustments Capital Expenditure Budget by vote and funding - 27/02/2019</v>
      </c>
      <c r="B1" s="5"/>
      <c r="C1" s="58"/>
    </row>
    <row r="2" spans="1:14" ht="38.25" x14ac:dyDescent="0.25">
      <c r="A2" s="1398"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4" ht="25.5" x14ac:dyDescent="0.25">
      <c r="A3" s="1399"/>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52" t="s">
        <v>666</v>
      </c>
      <c r="B6" s="73"/>
      <c r="C6" s="74"/>
      <c r="D6" s="75"/>
      <c r="E6" s="75"/>
      <c r="F6" s="75"/>
      <c r="G6" s="75"/>
      <c r="H6" s="75"/>
      <c r="I6" s="75"/>
      <c r="J6" s="75"/>
      <c r="K6" s="75"/>
      <c r="L6" s="75"/>
      <c r="M6" s="76"/>
    </row>
    <row r="7" spans="1:14" ht="12.75" customHeight="1" x14ac:dyDescent="0.25">
      <c r="A7" s="126" t="s">
        <v>1141</v>
      </c>
      <c r="B7" s="73">
        <v>2</v>
      </c>
      <c r="C7" s="74"/>
      <c r="D7" s="171"/>
      <c r="E7" s="171"/>
      <c r="F7" s="171"/>
      <c r="G7" s="171"/>
      <c r="H7" s="171"/>
      <c r="I7" s="171"/>
      <c r="J7" s="171"/>
      <c r="K7" s="171"/>
      <c r="L7" s="171"/>
      <c r="M7" s="235"/>
      <c r="N7" s="128"/>
    </row>
    <row r="8" spans="1:14" ht="12.75" customHeight="1" x14ac:dyDescent="0.25">
      <c r="A8" s="937" t="str">
        <f>B5B!A8</f>
        <v>Vote 1 - Municipal Manager</v>
      </c>
      <c r="B8" s="73"/>
      <c r="C8" s="786">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0"/>
    </row>
    <row r="9" spans="1:14" ht="12.75" customHeight="1" x14ac:dyDescent="0.25">
      <c r="A9" s="937" t="str">
        <f>B5B!A19</f>
        <v>Vote 2 - Planning &amp; Economic Development</v>
      </c>
      <c r="B9" s="73"/>
      <c r="C9" s="786">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0"/>
    </row>
    <row r="10" spans="1:14" ht="12.75" customHeight="1" x14ac:dyDescent="0.25">
      <c r="A10" s="937" t="str">
        <f>B5B!A30</f>
        <v>Vote 3 - Financial Services</v>
      </c>
      <c r="B10" s="73"/>
      <c r="C10" s="786">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8"/>
    </row>
    <row r="11" spans="1:14" ht="12.75" customHeight="1" x14ac:dyDescent="0.25">
      <c r="A11" s="937" t="str">
        <f>B5B!A41</f>
        <v>Vote 4 - Corporate Services</v>
      </c>
      <c r="B11" s="73"/>
      <c r="C11" s="786">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8"/>
    </row>
    <row r="12" spans="1:14" ht="12.75" customHeight="1" x14ac:dyDescent="0.25">
      <c r="A12" s="937" t="str">
        <f>B5B!A52</f>
        <v>Vote 5 - Community Services</v>
      </c>
      <c r="B12" s="73"/>
      <c r="C12" s="786">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8"/>
    </row>
    <row r="13" spans="1:14" ht="12.75" customHeight="1" x14ac:dyDescent="0.25">
      <c r="A13" s="937" t="str">
        <f>B5B!A63</f>
        <v>Vote 6 - Community Services</v>
      </c>
      <c r="B13" s="73"/>
      <c r="C13" s="786">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8"/>
    </row>
    <row r="14" spans="1:14" ht="12.75" customHeight="1" x14ac:dyDescent="0.25">
      <c r="A14" s="937" t="str">
        <f>B5B!A74</f>
        <v>Vote 7 - Electrical Engineering Services</v>
      </c>
      <c r="B14" s="73"/>
      <c r="C14" s="786">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8"/>
    </row>
    <row r="15" spans="1:14" ht="12.75" customHeight="1" x14ac:dyDescent="0.25">
      <c r="A15" s="937" t="str">
        <f>B5B!A85</f>
        <v>Vote 8 - Engineering Services</v>
      </c>
      <c r="B15" s="73"/>
      <c r="C15" s="78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8"/>
    </row>
    <row r="16" spans="1:14" ht="12.75" customHeight="1" x14ac:dyDescent="0.25">
      <c r="A16" s="937" t="str">
        <f>B5B!A96</f>
        <v>Vote 9 - [NAME OF VOTE 9]</v>
      </c>
      <c r="B16" s="73"/>
      <c r="C16" s="78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8"/>
    </row>
    <row r="17" spans="1:14" ht="12.75" customHeight="1" x14ac:dyDescent="0.25">
      <c r="A17" s="937" t="str">
        <f>B5B!A107</f>
        <v>Vote 10 - [NAME OF VOTE 10]</v>
      </c>
      <c r="B17" s="73"/>
      <c r="C17" s="78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8"/>
    </row>
    <row r="18" spans="1:14" ht="12.75" customHeight="1" x14ac:dyDescent="0.25">
      <c r="A18" s="937" t="str">
        <f>B5B!A118</f>
        <v>Vote 11 - [NAME OF VOTE 11]</v>
      </c>
      <c r="B18" s="73"/>
      <c r="C18" s="78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8"/>
    </row>
    <row r="19" spans="1:14" ht="12.75" customHeight="1" x14ac:dyDescent="0.25">
      <c r="A19" s="937" t="str">
        <f>B5B!A129</f>
        <v>Vote 12 - [NAME OF VOTE 12]</v>
      </c>
      <c r="B19" s="73"/>
      <c r="C19" s="78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8"/>
    </row>
    <row r="20" spans="1:14" ht="12.75" customHeight="1" x14ac:dyDescent="0.25">
      <c r="A20" s="937" t="str">
        <f>B5B!A140</f>
        <v>Vote 13 - [NAME OF VOTE 13]</v>
      </c>
      <c r="B20" s="73"/>
      <c r="C20" s="78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8"/>
    </row>
    <row r="21" spans="1:14" ht="12.75" customHeight="1" x14ac:dyDescent="0.25">
      <c r="A21" s="937" t="str">
        <f>B5B!A151</f>
        <v>Vote 14 - [NAME OF VOTE 14]</v>
      </c>
      <c r="B21" s="73"/>
      <c r="C21" s="78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8"/>
    </row>
    <row r="22" spans="1:14" ht="12.75" customHeight="1" x14ac:dyDescent="0.25">
      <c r="A22" s="937" t="str">
        <f>B5B!A162</f>
        <v>Vote 15 - [NAME OF VOTE 15]</v>
      </c>
      <c r="B22" s="73"/>
      <c r="C22" s="78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8"/>
    </row>
    <row r="23" spans="1:14" ht="12.75" customHeight="1" x14ac:dyDescent="0.25">
      <c r="A23" s="761" t="s">
        <v>667</v>
      </c>
      <c r="B23" s="73">
        <v>3</v>
      </c>
      <c r="C23" s="787">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23">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1142</v>
      </c>
      <c r="B25" s="137">
        <v>2</v>
      </c>
      <c r="C25" s="788"/>
      <c r="D25" s="171"/>
      <c r="E25" s="171"/>
      <c r="F25" s="171"/>
      <c r="G25" s="171"/>
      <c r="H25" s="171"/>
      <c r="I25" s="171"/>
      <c r="J25" s="171"/>
      <c r="K25" s="171"/>
      <c r="L25" s="171"/>
      <c r="M25" s="235"/>
      <c r="N25" s="128"/>
    </row>
    <row r="26" spans="1:14" ht="12.75" customHeight="1" x14ac:dyDescent="0.25">
      <c r="A26" s="937" t="str">
        <f>B5B!A177</f>
        <v>Vote 1 - Municipal Manager</v>
      </c>
      <c r="B26" s="137"/>
      <c r="C26" s="788">
        <f>B5B!C177</f>
        <v>100000</v>
      </c>
      <c r="D26" s="132">
        <f>B5B!D177</f>
        <v>0</v>
      </c>
      <c r="E26" s="132">
        <f>B5B!E177</f>
        <v>0</v>
      </c>
      <c r="F26" s="132">
        <f>B5B!F177</f>
        <v>0</v>
      </c>
      <c r="G26" s="132">
        <f>B5B!G177</f>
        <v>0</v>
      </c>
      <c r="H26" s="132">
        <f>B5B!H177</f>
        <v>0</v>
      </c>
      <c r="I26" s="132">
        <f>B5B!I177</f>
        <v>-93941</v>
      </c>
      <c r="J26" s="171">
        <f t="shared" ref="J26:J40" si="3">SUM(E26:I26)</f>
        <v>-93941</v>
      </c>
      <c r="K26" s="171">
        <f t="shared" ref="K26:K40" si="4">IF(D26=0,C26+J26,D26+J26)</f>
        <v>6059</v>
      </c>
      <c r="L26" s="132">
        <f>B5B!L177</f>
        <v>0</v>
      </c>
      <c r="M26" s="133">
        <f>B5B!M177</f>
        <v>0</v>
      </c>
      <c r="N26" s="850"/>
    </row>
    <row r="27" spans="1:14" ht="12.75" customHeight="1" x14ac:dyDescent="0.25">
      <c r="A27" s="937" t="str">
        <f>B5B!A188</f>
        <v>Vote 2 - Planning &amp; Economic Development</v>
      </c>
      <c r="B27" s="137"/>
      <c r="C27" s="788">
        <f>B5B!C188</f>
        <v>100000</v>
      </c>
      <c r="D27" s="132">
        <f>B5B!D188</f>
        <v>0</v>
      </c>
      <c r="E27" s="132">
        <f>B5B!E188</f>
        <v>0</v>
      </c>
      <c r="F27" s="132">
        <f>B5B!F188</f>
        <v>0</v>
      </c>
      <c r="G27" s="132">
        <f>B5B!G188</f>
        <v>0</v>
      </c>
      <c r="H27" s="132">
        <f>B5B!H188</f>
        <v>0</v>
      </c>
      <c r="I27" s="132">
        <f>B5B!I188</f>
        <v>-86109</v>
      </c>
      <c r="J27" s="171">
        <f t="shared" si="3"/>
        <v>-86109</v>
      </c>
      <c r="K27" s="171">
        <f t="shared" si="4"/>
        <v>13891</v>
      </c>
      <c r="L27" s="132">
        <f>B5B!L188</f>
        <v>0</v>
      </c>
      <c r="M27" s="133">
        <f>B5B!M188</f>
        <v>0</v>
      </c>
      <c r="N27" s="850"/>
    </row>
    <row r="28" spans="1:14" ht="12.75" customHeight="1" x14ac:dyDescent="0.25">
      <c r="A28" s="937" t="str">
        <f>B5B!A199</f>
        <v>Vote 3 - Financial Services</v>
      </c>
      <c r="B28" s="137"/>
      <c r="C28" s="788">
        <f>B5B!C199</f>
        <v>100000</v>
      </c>
      <c r="D28" s="132">
        <f>B5B!D199</f>
        <v>0</v>
      </c>
      <c r="E28" s="132">
        <f>B5B!E199</f>
        <v>0</v>
      </c>
      <c r="F28" s="132">
        <f>B5B!F199</f>
        <v>0</v>
      </c>
      <c r="G28" s="132">
        <f>B5B!G199</f>
        <v>0</v>
      </c>
      <c r="H28" s="132">
        <f>B5B!H199</f>
        <v>0</v>
      </c>
      <c r="I28" s="132">
        <f>B5B!I199</f>
        <v>1952830</v>
      </c>
      <c r="J28" s="171">
        <f t="shared" si="3"/>
        <v>1952830</v>
      </c>
      <c r="K28" s="171">
        <f t="shared" si="4"/>
        <v>2052830</v>
      </c>
      <c r="L28" s="132">
        <f>B5B!L199</f>
        <v>0</v>
      </c>
      <c r="M28" s="133">
        <f>B5B!M199</f>
        <v>0</v>
      </c>
      <c r="N28" s="848"/>
    </row>
    <row r="29" spans="1:14" ht="12.75" customHeight="1" x14ac:dyDescent="0.25">
      <c r="A29" s="937" t="str">
        <f>B5B!A210</f>
        <v>Vote 4 - Corporate Services</v>
      </c>
      <c r="B29" s="137"/>
      <c r="C29" s="788">
        <f>B5B!C210</f>
        <v>100000</v>
      </c>
      <c r="D29" s="132">
        <f>B5B!D210</f>
        <v>0</v>
      </c>
      <c r="E29" s="132">
        <f>B5B!E210</f>
        <v>0</v>
      </c>
      <c r="F29" s="132">
        <f>B5B!F210</f>
        <v>0</v>
      </c>
      <c r="G29" s="132">
        <f>B5B!G210</f>
        <v>0</v>
      </c>
      <c r="H29" s="132">
        <f>B5B!H210</f>
        <v>0</v>
      </c>
      <c r="I29" s="132">
        <f>B5B!I210</f>
        <v>-61701</v>
      </c>
      <c r="J29" s="171">
        <f t="shared" si="3"/>
        <v>-61701</v>
      </c>
      <c r="K29" s="171">
        <f t="shared" si="4"/>
        <v>38299</v>
      </c>
      <c r="L29" s="132">
        <f>B5B!L210</f>
        <v>0</v>
      </c>
      <c r="M29" s="133">
        <f>B5B!M210</f>
        <v>0</v>
      </c>
      <c r="N29" s="848"/>
    </row>
    <row r="30" spans="1:14" ht="12.75" customHeight="1" x14ac:dyDescent="0.25">
      <c r="A30" s="937" t="str">
        <f>B5B!A221</f>
        <v>Vote 5 - Community Services</v>
      </c>
      <c r="B30" s="137"/>
      <c r="C30" s="788">
        <f>B5B!C221</f>
        <v>400000</v>
      </c>
      <c r="D30" s="132">
        <f>B5B!D221</f>
        <v>0</v>
      </c>
      <c r="E30" s="132">
        <f>B5B!E221</f>
        <v>0</v>
      </c>
      <c r="F30" s="132">
        <f>B5B!F221</f>
        <v>0</v>
      </c>
      <c r="G30" s="132">
        <f>B5B!G221</f>
        <v>0</v>
      </c>
      <c r="H30" s="132">
        <f>B5B!H221</f>
        <v>0</v>
      </c>
      <c r="I30" s="132">
        <f>B5B!I221</f>
        <v>185366</v>
      </c>
      <c r="J30" s="171">
        <f t="shared" si="3"/>
        <v>185366</v>
      </c>
      <c r="K30" s="171">
        <f t="shared" si="4"/>
        <v>585366</v>
      </c>
      <c r="L30" s="132">
        <f>B5B!L221</f>
        <v>0</v>
      </c>
      <c r="M30" s="133">
        <f>B5B!M221</f>
        <v>0</v>
      </c>
      <c r="N30" s="848"/>
    </row>
    <row r="31" spans="1:14" ht="12.75" customHeight="1" x14ac:dyDescent="0.25">
      <c r="A31" s="937" t="str">
        <f>B5B!A232</f>
        <v>Vote 6 - Community Services</v>
      </c>
      <c r="B31" s="137"/>
      <c r="C31" s="788">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8"/>
    </row>
    <row r="32" spans="1:14" ht="12.75" customHeight="1" x14ac:dyDescent="0.25">
      <c r="A32" s="937" t="str">
        <f>B5B!A243</f>
        <v>Vote 7 - Electrical Engineering Services</v>
      </c>
      <c r="B32" s="137"/>
      <c r="C32" s="788">
        <f>B5B!C243</f>
        <v>56600000</v>
      </c>
      <c r="D32" s="132">
        <f>B5B!D243</f>
        <v>0</v>
      </c>
      <c r="E32" s="132">
        <f>B5B!E243</f>
        <v>0</v>
      </c>
      <c r="F32" s="132">
        <f>B5B!F243</f>
        <v>0</v>
      </c>
      <c r="G32" s="132">
        <f>B5B!G243</f>
        <v>0</v>
      </c>
      <c r="H32" s="132">
        <f>B5B!H243</f>
        <v>0</v>
      </c>
      <c r="I32" s="132">
        <f>B5B!I243</f>
        <v>-200000</v>
      </c>
      <c r="J32" s="171">
        <f t="shared" si="3"/>
        <v>-200000</v>
      </c>
      <c r="K32" s="171">
        <f t="shared" si="4"/>
        <v>56400000</v>
      </c>
      <c r="L32" s="132">
        <f>B5B!L243</f>
        <v>35000000</v>
      </c>
      <c r="M32" s="133">
        <f>B5B!M243</f>
        <v>45000000</v>
      </c>
      <c r="N32" s="848"/>
    </row>
    <row r="33" spans="1:14" ht="12.75" customHeight="1" x14ac:dyDescent="0.25">
      <c r="A33" s="937" t="str">
        <f>B5B!A254</f>
        <v>Vote 8 - Engineering Services</v>
      </c>
      <c r="B33" s="137"/>
      <c r="C33" s="788">
        <f>B5B!C254</f>
        <v>137799250</v>
      </c>
      <c r="D33" s="132">
        <f>B5B!D254</f>
        <v>0</v>
      </c>
      <c r="E33" s="132">
        <f>B5B!E254</f>
        <v>0</v>
      </c>
      <c r="F33" s="132">
        <f>B5B!F254</f>
        <v>0</v>
      </c>
      <c r="G33" s="132">
        <f>B5B!G254</f>
        <v>0</v>
      </c>
      <c r="H33" s="132">
        <f>B5B!H254</f>
        <v>0</v>
      </c>
      <c r="I33" s="132">
        <f>B5B!I254</f>
        <v>-43177677</v>
      </c>
      <c r="J33" s="171">
        <f t="shared" si="3"/>
        <v>-43177677</v>
      </c>
      <c r="K33" s="171">
        <f t="shared" si="4"/>
        <v>94621573</v>
      </c>
      <c r="L33" s="132">
        <f>B5B!L254</f>
        <v>89549850</v>
      </c>
      <c r="M33" s="133">
        <f>B5B!M254</f>
        <v>94667500</v>
      </c>
      <c r="N33" s="848"/>
    </row>
    <row r="34" spans="1:14" ht="12.75" customHeight="1" x14ac:dyDescent="0.25">
      <c r="A34" s="937" t="str">
        <f>B5B!A265</f>
        <v>Vote 9 - [NAME OF VOTE 9]</v>
      </c>
      <c r="B34" s="137"/>
      <c r="C34" s="788">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8"/>
    </row>
    <row r="35" spans="1:14" ht="12.75" customHeight="1" x14ac:dyDescent="0.25">
      <c r="A35" s="937" t="str">
        <f>B5B!A276</f>
        <v>Vote 10 - [NAME OF VOTE 10]</v>
      </c>
      <c r="B35" s="137"/>
      <c r="C35" s="78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8"/>
    </row>
    <row r="36" spans="1:14" ht="12.75" customHeight="1" x14ac:dyDescent="0.25">
      <c r="A36" s="937" t="str">
        <f>B5B!A287</f>
        <v>Vote 11 - [NAME OF VOTE 11]</v>
      </c>
      <c r="B36" s="137"/>
      <c r="C36" s="788">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8"/>
    </row>
    <row r="37" spans="1:14" ht="12.75" customHeight="1" x14ac:dyDescent="0.25">
      <c r="A37" s="937" t="str">
        <f>B5B!A298</f>
        <v>Vote 12 - [NAME OF VOTE 12]</v>
      </c>
      <c r="B37" s="137"/>
      <c r="C37" s="78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8"/>
    </row>
    <row r="38" spans="1:14" x14ac:dyDescent="0.25">
      <c r="A38" s="937" t="str">
        <f>B5B!A309</f>
        <v>Vote 13 - [NAME OF VOTE 13]</v>
      </c>
      <c r="B38" s="137"/>
      <c r="C38" s="789">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8"/>
    </row>
    <row r="39" spans="1:14" ht="12.75" customHeight="1" x14ac:dyDescent="0.25">
      <c r="A39" s="937" t="str">
        <f>B5B!A320</f>
        <v>Vote 14 - [NAME OF VOTE 14]</v>
      </c>
      <c r="B39" s="137"/>
      <c r="C39" s="78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8"/>
    </row>
    <row r="40" spans="1:14" ht="12.75" customHeight="1" x14ac:dyDescent="0.25">
      <c r="A40" s="937" t="str">
        <f>B5B!A331</f>
        <v>Vote 15 - [NAME OF VOTE 15]</v>
      </c>
      <c r="B40" s="137"/>
      <c r="C40" s="789">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8"/>
    </row>
    <row r="41" spans="1:14" ht="12.75" customHeight="1" x14ac:dyDescent="0.25">
      <c r="A41" s="161" t="s">
        <v>668</v>
      </c>
      <c r="B41" s="154"/>
      <c r="C41" s="790">
        <f>SUM(C26:C40)</f>
        <v>195199250</v>
      </c>
      <c r="D41" s="81">
        <f t="shared" ref="D41:I41" si="5">SUM(D26:D40)</f>
        <v>0</v>
      </c>
      <c r="E41" s="81">
        <f t="shared" si="5"/>
        <v>0</v>
      </c>
      <c r="F41" s="81">
        <f t="shared" si="5"/>
        <v>0</v>
      </c>
      <c r="G41" s="81">
        <f t="shared" si="5"/>
        <v>0</v>
      </c>
      <c r="H41" s="81">
        <f t="shared" si="5"/>
        <v>0</v>
      </c>
      <c r="I41" s="81">
        <f t="shared" si="5"/>
        <v>-41481232</v>
      </c>
      <c r="J41" s="81">
        <f>SUM(J26:J40)</f>
        <v>-41481232</v>
      </c>
      <c r="K41" s="81">
        <f>SUM(K26:K40)</f>
        <v>153718018</v>
      </c>
      <c r="L41" s="81">
        <f>SUM(L26:L40)</f>
        <v>124549850</v>
      </c>
      <c r="M41" s="82">
        <f>SUM(M26:M40)</f>
        <v>139667500</v>
      </c>
      <c r="N41" s="552"/>
    </row>
    <row r="42" spans="1:14" ht="12.75" customHeight="1" x14ac:dyDescent="0.25">
      <c r="A42" s="162" t="s">
        <v>1143</v>
      </c>
      <c r="B42" s="79"/>
      <c r="C42" s="858">
        <f>C41+C23</f>
        <v>195199250</v>
      </c>
      <c r="D42" s="81">
        <f t="shared" ref="D42:I42" si="6">D41+D23</f>
        <v>0</v>
      </c>
      <c r="E42" s="81">
        <f t="shared" si="6"/>
        <v>0</v>
      </c>
      <c r="F42" s="81">
        <f t="shared" si="6"/>
        <v>0</v>
      </c>
      <c r="G42" s="81">
        <f t="shared" si="6"/>
        <v>0</v>
      </c>
      <c r="H42" s="81">
        <f t="shared" si="6"/>
        <v>0</v>
      </c>
      <c r="I42" s="81">
        <f t="shared" si="6"/>
        <v>-41481232</v>
      </c>
      <c r="J42" s="81">
        <f>J23+J41</f>
        <v>-41481232</v>
      </c>
      <c r="K42" s="81">
        <f>K23+K41</f>
        <v>153718018</v>
      </c>
      <c r="L42" s="81">
        <f>L41+L23</f>
        <v>124549850</v>
      </c>
      <c r="M42" s="82">
        <f>M41+M23</f>
        <v>139667500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1500</v>
      </c>
      <c r="B44" s="73"/>
      <c r="C44" s="74"/>
      <c r="D44" s="75"/>
      <c r="E44" s="75"/>
      <c r="F44" s="75"/>
      <c r="G44" s="75"/>
      <c r="H44" s="75"/>
      <c r="I44" s="75"/>
      <c r="J44" s="75"/>
      <c r="K44" s="75"/>
      <c r="L44" s="75"/>
      <c r="M44" s="76"/>
      <c r="N44" s="128"/>
    </row>
    <row r="45" spans="1:14" ht="12.75" customHeight="1" x14ac:dyDescent="0.25">
      <c r="A45" s="107" t="s">
        <v>615</v>
      </c>
      <c r="B45" s="73"/>
      <c r="C45" s="257">
        <f t="shared" ref="C45:M45" si="7">SUM(C46:C48)</f>
        <v>300000</v>
      </c>
      <c r="D45" s="257">
        <f t="shared" si="7"/>
        <v>0</v>
      </c>
      <c r="E45" s="257">
        <f t="shared" si="7"/>
        <v>0</v>
      </c>
      <c r="F45" s="257">
        <f t="shared" si="7"/>
        <v>0</v>
      </c>
      <c r="G45" s="257">
        <f t="shared" si="7"/>
        <v>0</v>
      </c>
      <c r="H45" s="257">
        <f t="shared" si="7"/>
        <v>0</v>
      </c>
      <c r="I45" s="257">
        <f t="shared" si="7"/>
        <v>1797188</v>
      </c>
      <c r="J45" s="257">
        <f>SUM(J46:J48)</f>
        <v>1797188</v>
      </c>
      <c r="K45" s="257">
        <f t="shared" si="7"/>
        <v>2097188</v>
      </c>
      <c r="L45" s="257">
        <f t="shared" si="7"/>
        <v>0</v>
      </c>
      <c r="M45" s="710">
        <f t="shared" si="7"/>
        <v>0</v>
      </c>
      <c r="N45" s="128"/>
    </row>
    <row r="46" spans="1:14" ht="12.75" customHeight="1" x14ac:dyDescent="0.25">
      <c r="A46" s="108" t="s">
        <v>616</v>
      </c>
      <c r="B46" s="73"/>
      <c r="C46" s="109">
        <v>100000</v>
      </c>
      <c r="D46" s="109"/>
      <c r="E46" s="109"/>
      <c r="F46" s="109"/>
      <c r="G46" s="109"/>
      <c r="H46" s="109"/>
      <c r="I46" s="109">
        <f>6059-100000</f>
        <v>-93941</v>
      </c>
      <c r="J46" s="171">
        <f>SUM(E46:I46)</f>
        <v>-93941</v>
      </c>
      <c r="K46" s="171">
        <f>IF(D46=0,C46+J46,D46+J46)</f>
        <v>6059</v>
      </c>
      <c r="L46" s="109"/>
      <c r="M46" s="110"/>
      <c r="N46" s="128"/>
    </row>
    <row r="47" spans="1:14" ht="12.75" customHeight="1" x14ac:dyDescent="0.25">
      <c r="A47" s="108" t="s">
        <v>1501</v>
      </c>
      <c r="B47" s="73"/>
      <c r="C47" s="111">
        <v>200000</v>
      </c>
      <c r="D47" s="111"/>
      <c r="E47" s="111"/>
      <c r="F47" s="111"/>
      <c r="G47" s="111"/>
      <c r="H47" s="111"/>
      <c r="I47" s="111">
        <f>38299+96143-200000+1956687</f>
        <v>1891129</v>
      </c>
      <c r="J47" s="171">
        <f>SUM(E47:I47)</f>
        <v>1891129</v>
      </c>
      <c r="K47" s="171">
        <f>IF(D47=0,C47+J47,D47+J47)</f>
        <v>2091129</v>
      </c>
      <c r="L47" s="111"/>
      <c r="M47" s="112"/>
      <c r="N47" s="128"/>
    </row>
    <row r="48" spans="1:14" ht="12.75" customHeight="1" x14ac:dyDescent="0.25">
      <c r="A48" s="108" t="s">
        <v>1502</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617</v>
      </c>
      <c r="B49" s="73"/>
      <c r="C49" s="257">
        <f t="shared" ref="C49:M49" si="8">SUM(C50:C54)</f>
        <v>12806765</v>
      </c>
      <c r="D49" s="257">
        <f t="shared" si="8"/>
        <v>0</v>
      </c>
      <c r="E49" s="257">
        <f t="shared" si="8"/>
        <v>0</v>
      </c>
      <c r="F49" s="257">
        <f t="shared" si="8"/>
        <v>0</v>
      </c>
      <c r="G49" s="257">
        <f t="shared" si="8"/>
        <v>0</v>
      </c>
      <c r="H49" s="257">
        <f t="shared" si="8"/>
        <v>0</v>
      </c>
      <c r="I49" s="257">
        <f t="shared" si="8"/>
        <v>-9728765</v>
      </c>
      <c r="J49" s="257">
        <f>SUM(J50:J54)</f>
        <v>-9728765</v>
      </c>
      <c r="K49" s="257">
        <f t="shared" si="8"/>
        <v>3078000</v>
      </c>
      <c r="L49" s="257">
        <f t="shared" si="8"/>
        <v>0</v>
      </c>
      <c r="M49" s="710">
        <f t="shared" si="8"/>
        <v>0</v>
      </c>
      <c r="N49" s="128"/>
    </row>
    <row r="50" spans="1:14" ht="12.75" customHeight="1" x14ac:dyDescent="0.25">
      <c r="A50" s="108" t="s">
        <v>618</v>
      </c>
      <c r="B50" s="73"/>
      <c r="C50" s="109"/>
      <c r="D50" s="109"/>
      <c r="E50" s="109"/>
      <c r="F50" s="109"/>
      <c r="G50" s="109"/>
      <c r="H50" s="109"/>
      <c r="I50" s="109"/>
      <c r="J50" s="171">
        <f>SUM(E50:I50)</f>
        <v>0</v>
      </c>
      <c r="K50" s="171">
        <f>IF(D50=0,C50+J50,D50+J50)</f>
        <v>0</v>
      </c>
      <c r="L50" s="109"/>
      <c r="M50" s="110"/>
      <c r="N50" s="128"/>
    </row>
    <row r="51" spans="1:14" ht="12.75" customHeight="1" x14ac:dyDescent="0.25">
      <c r="A51" s="108" t="s">
        <v>619</v>
      </c>
      <c r="B51" s="73"/>
      <c r="C51" s="109">
        <v>300000</v>
      </c>
      <c r="D51" s="109"/>
      <c r="E51" s="109"/>
      <c r="F51" s="109"/>
      <c r="G51" s="109"/>
      <c r="H51" s="109"/>
      <c r="I51" s="109">
        <v>48000</v>
      </c>
      <c r="J51" s="171">
        <f>SUM(E51:I51)</f>
        <v>48000</v>
      </c>
      <c r="K51" s="171">
        <f>IF(D51=0,C51+J51,D51+J51)</f>
        <v>348000</v>
      </c>
      <c r="L51" s="109"/>
      <c r="M51" s="110"/>
      <c r="N51" s="128"/>
    </row>
    <row r="52" spans="1:14" ht="12.75" customHeight="1" x14ac:dyDescent="0.25">
      <c r="A52" s="108" t="s">
        <v>620</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621</v>
      </c>
      <c r="B53" s="73"/>
      <c r="C53" s="109">
        <v>12506765</v>
      </c>
      <c r="D53" s="109"/>
      <c r="E53" s="109"/>
      <c r="F53" s="109"/>
      <c r="G53" s="109"/>
      <c r="H53" s="109"/>
      <c r="I53" s="109">
        <v>-10006765</v>
      </c>
      <c r="J53" s="171">
        <f>SUM(E53:I53)</f>
        <v>-10006765</v>
      </c>
      <c r="K53" s="171">
        <f>IF(D53=0,C53+J53,D53+J53)</f>
        <v>2500000</v>
      </c>
      <c r="L53" s="109"/>
      <c r="M53" s="110"/>
      <c r="N53" s="128"/>
    </row>
    <row r="54" spans="1:14" ht="12.75" customHeight="1" x14ac:dyDescent="0.25">
      <c r="A54" s="108" t="s">
        <v>622</v>
      </c>
      <c r="B54" s="73"/>
      <c r="C54" s="111"/>
      <c r="D54" s="111"/>
      <c r="E54" s="111"/>
      <c r="F54" s="111"/>
      <c r="G54" s="111"/>
      <c r="H54" s="111"/>
      <c r="I54" s="111">
        <v>230000</v>
      </c>
      <c r="J54" s="171">
        <f>SUM(E54:I54)</f>
        <v>230000</v>
      </c>
      <c r="K54" s="171">
        <f>IF(D54=0,C54+J54,D54+J54)</f>
        <v>230000</v>
      </c>
      <c r="L54" s="111"/>
      <c r="M54" s="112"/>
      <c r="N54" s="128"/>
    </row>
    <row r="55" spans="1:14" ht="12.75" customHeight="1" x14ac:dyDescent="0.25">
      <c r="A55" s="107" t="s">
        <v>623</v>
      </c>
      <c r="B55" s="73"/>
      <c r="C55" s="257">
        <f t="shared" ref="C55:M55" si="9">SUM(C56:C58)</f>
        <v>125392485</v>
      </c>
      <c r="D55" s="257">
        <f t="shared" si="9"/>
        <v>0</v>
      </c>
      <c r="E55" s="257">
        <f t="shared" si="9"/>
        <v>0</v>
      </c>
      <c r="F55" s="257">
        <f t="shared" si="9"/>
        <v>0</v>
      </c>
      <c r="G55" s="257">
        <f t="shared" si="9"/>
        <v>0</v>
      </c>
      <c r="H55" s="257">
        <f t="shared" si="9"/>
        <v>0</v>
      </c>
      <c r="I55" s="257">
        <f t="shared" si="9"/>
        <v>-33257021</v>
      </c>
      <c r="J55" s="257">
        <f t="shared" si="9"/>
        <v>-33257021</v>
      </c>
      <c r="K55" s="257">
        <f t="shared" si="9"/>
        <v>92135464</v>
      </c>
      <c r="L55" s="257">
        <f t="shared" si="9"/>
        <v>89549850</v>
      </c>
      <c r="M55" s="710">
        <f t="shared" si="9"/>
        <v>94667500</v>
      </c>
      <c r="N55" s="128"/>
    </row>
    <row r="56" spans="1:14" ht="12.75" customHeight="1" x14ac:dyDescent="0.25">
      <c r="A56" s="108" t="s">
        <v>624</v>
      </c>
      <c r="B56" s="137"/>
      <c r="C56" s="109">
        <f>335000-235000</f>
        <v>100000</v>
      </c>
      <c r="D56" s="109"/>
      <c r="E56" s="109"/>
      <c r="F56" s="109"/>
      <c r="G56" s="109"/>
      <c r="H56" s="109"/>
      <c r="I56" s="109">
        <f>13891-100000</f>
        <v>-86109</v>
      </c>
      <c r="J56" s="171">
        <f>SUM(E56:I56)</f>
        <v>-86109</v>
      </c>
      <c r="K56" s="171">
        <f>IF(D56=0,C56+J56,D56+J56)</f>
        <v>13891</v>
      </c>
      <c r="L56" s="109"/>
      <c r="M56" s="110"/>
      <c r="N56" s="128"/>
    </row>
    <row r="57" spans="1:14" ht="12.75" customHeight="1" x14ac:dyDescent="0.25">
      <c r="A57" s="108" t="s">
        <v>625</v>
      </c>
      <c r="B57" s="73"/>
      <c r="C57" s="109">
        <v>125292485</v>
      </c>
      <c r="D57" s="109"/>
      <c r="E57" s="109"/>
      <c r="F57" s="109"/>
      <c r="G57" s="109"/>
      <c r="H57" s="109"/>
      <c r="I57" s="109">
        <f>-31214225-1956687</f>
        <v>-33170912</v>
      </c>
      <c r="J57" s="171">
        <f>SUM(E57:I57)</f>
        <v>-33170912</v>
      </c>
      <c r="K57" s="171">
        <f>IF(D57=0,C57+J57,D57+J57)</f>
        <v>92121573</v>
      </c>
      <c r="L57" s="109">
        <v>89549850</v>
      </c>
      <c r="M57" s="110">
        <v>94667500</v>
      </c>
      <c r="N57" s="128"/>
    </row>
    <row r="58" spans="1:14" ht="12.75" customHeight="1" x14ac:dyDescent="0.25">
      <c r="A58" s="108" t="s">
        <v>626</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627</v>
      </c>
      <c r="B59" s="73"/>
      <c r="C59" s="257">
        <f>SUM(C60:C63)</f>
        <v>56700000</v>
      </c>
      <c r="D59" s="257">
        <f t="shared" ref="D59:M59" si="10">SUM(D60:D63)</f>
        <v>0</v>
      </c>
      <c r="E59" s="257">
        <f t="shared" si="10"/>
        <v>0</v>
      </c>
      <c r="F59" s="257">
        <f t="shared" si="10"/>
        <v>0</v>
      </c>
      <c r="G59" s="257">
        <f t="shared" si="10"/>
        <v>0</v>
      </c>
      <c r="H59" s="257">
        <f t="shared" si="10"/>
        <v>0</v>
      </c>
      <c r="I59" s="257">
        <f>SUM(I60:I63)</f>
        <v>-292634</v>
      </c>
      <c r="J59" s="257">
        <f>SUM(J60:J63)</f>
        <v>-292634</v>
      </c>
      <c r="K59" s="257">
        <f t="shared" si="10"/>
        <v>56407366</v>
      </c>
      <c r="L59" s="257">
        <f t="shared" si="10"/>
        <v>35000000</v>
      </c>
      <c r="M59" s="710">
        <f t="shared" si="10"/>
        <v>45000000</v>
      </c>
      <c r="N59" s="128"/>
    </row>
    <row r="60" spans="1:14" ht="12.75" customHeight="1" x14ac:dyDescent="0.25">
      <c r="A60" s="108" t="s">
        <v>1503</v>
      </c>
      <c r="B60" s="73"/>
      <c r="C60" s="109">
        <v>56600000</v>
      </c>
      <c r="D60" s="109"/>
      <c r="E60" s="109"/>
      <c r="F60" s="109"/>
      <c r="G60" s="109"/>
      <c r="H60" s="109"/>
      <c r="I60" s="109">
        <v>-200000</v>
      </c>
      <c r="J60" s="171">
        <f>SUM(E60:I60)</f>
        <v>-200000</v>
      </c>
      <c r="K60" s="75">
        <f>IF(D60=0,C60+J60,D60+J60)</f>
        <v>56400000</v>
      </c>
      <c r="L60" s="109">
        <v>35000000</v>
      </c>
      <c r="M60" s="110">
        <v>45000000</v>
      </c>
      <c r="N60" s="128"/>
    </row>
    <row r="61" spans="1:14" ht="12.75" customHeight="1" x14ac:dyDescent="0.25">
      <c r="A61" s="108" t="s">
        <v>1504</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630</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631</v>
      </c>
      <c r="B63" s="73"/>
      <c r="C63" s="109">
        <v>100000</v>
      </c>
      <c r="D63" s="109"/>
      <c r="E63" s="109"/>
      <c r="F63" s="109"/>
      <c r="G63" s="109"/>
      <c r="H63" s="109"/>
      <c r="I63" s="109">
        <f>7366-100000</f>
        <v>-92634</v>
      </c>
      <c r="J63" s="171">
        <f>SUM(E63:I63)</f>
        <v>-92634</v>
      </c>
      <c r="K63" s="75">
        <f>IF(D63=0,C63+J63,D63+J63)</f>
        <v>7366</v>
      </c>
      <c r="L63" s="109"/>
      <c r="M63" s="110"/>
      <c r="N63" s="128"/>
    </row>
    <row r="64" spans="1:14" ht="12.75" customHeight="1" x14ac:dyDescent="0.25">
      <c r="A64" s="107" t="s">
        <v>632</v>
      </c>
      <c r="B64" s="73"/>
      <c r="C64" s="109"/>
      <c r="D64" s="109"/>
      <c r="E64" s="109"/>
      <c r="F64" s="109"/>
      <c r="G64" s="109"/>
      <c r="H64" s="109"/>
      <c r="I64" s="109"/>
      <c r="J64" s="171">
        <f>SUM(E64:I64)</f>
        <v>0</v>
      </c>
      <c r="K64" s="75">
        <f>IF(D64=0,C64+J64,D64+J64)</f>
        <v>0</v>
      </c>
      <c r="L64" s="109"/>
      <c r="M64" s="113"/>
      <c r="N64" s="128"/>
    </row>
    <row r="65" spans="1:14" ht="12.75" customHeight="1" x14ac:dyDescent="0.25">
      <c r="A65" s="1237" t="s">
        <v>1505</v>
      </c>
      <c r="B65" s="79">
        <v>3</v>
      </c>
      <c r="C65" s="691">
        <f>C45+C49+C55+C59+C64</f>
        <v>195199250</v>
      </c>
      <c r="D65" s="689">
        <f t="shared" ref="D65:M65" si="11">D45+D49+D55+D59+D64</f>
        <v>0</v>
      </c>
      <c r="E65" s="689">
        <f t="shared" si="11"/>
        <v>0</v>
      </c>
      <c r="F65" s="689">
        <f t="shared" si="11"/>
        <v>0</v>
      </c>
      <c r="G65" s="689">
        <f t="shared" si="11"/>
        <v>0</v>
      </c>
      <c r="H65" s="689">
        <f t="shared" si="11"/>
        <v>0</v>
      </c>
      <c r="I65" s="689">
        <f>I45+I49+I55+I59+I64</f>
        <v>-41481232</v>
      </c>
      <c r="J65" s="689">
        <f t="shared" si="11"/>
        <v>-41481232</v>
      </c>
      <c r="K65" s="689">
        <f t="shared" si="11"/>
        <v>153718018</v>
      </c>
      <c r="L65" s="689">
        <f t="shared" si="11"/>
        <v>124549850</v>
      </c>
      <c r="M65" s="690">
        <f t="shared" si="11"/>
        <v>139667500</v>
      </c>
      <c r="N65" s="128"/>
    </row>
    <row r="66" spans="1:14" ht="4.9000000000000004" customHeight="1" x14ac:dyDescent="0.25">
      <c r="A66" s="761"/>
      <c r="B66" s="73"/>
      <c r="C66" s="74"/>
      <c r="D66" s="75"/>
      <c r="E66" s="75"/>
      <c r="F66" s="75"/>
      <c r="G66" s="75"/>
      <c r="H66" s="75"/>
      <c r="I66" s="75"/>
      <c r="J66" s="75"/>
      <c r="K66" s="75"/>
      <c r="L66" s="75"/>
      <c r="M66" s="76"/>
      <c r="N66" s="128"/>
    </row>
    <row r="67" spans="1:14" ht="12.75" customHeight="1" x14ac:dyDescent="0.25">
      <c r="A67" s="126" t="s">
        <v>669</v>
      </c>
      <c r="B67" s="73"/>
      <c r="C67" s="74"/>
      <c r="D67" s="75"/>
      <c r="E67" s="75"/>
      <c r="F67" s="75"/>
      <c r="G67" s="75"/>
      <c r="H67" s="75"/>
      <c r="I67" s="75"/>
      <c r="J67" s="75"/>
      <c r="K67" s="75"/>
      <c r="L67" s="75"/>
      <c r="M67" s="76"/>
      <c r="N67" s="128"/>
    </row>
    <row r="68" spans="1:14" ht="12.75" customHeight="1" x14ac:dyDescent="0.25">
      <c r="A68" s="163" t="s">
        <v>670</v>
      </c>
      <c r="B68" s="73"/>
      <c r="C68" s="130">
        <v>87699250</v>
      </c>
      <c r="D68" s="109"/>
      <c r="E68" s="109"/>
      <c r="F68" s="109"/>
      <c r="G68" s="109"/>
      <c r="H68" s="109"/>
      <c r="I68" s="109">
        <v>0</v>
      </c>
      <c r="J68" s="171">
        <f>SUM(E68:I68)</f>
        <v>0</v>
      </c>
      <c r="K68" s="75">
        <f>IF(D68=0,C68+J68,D68+J68)</f>
        <v>87699250</v>
      </c>
      <c r="L68" s="109">
        <v>89549850</v>
      </c>
      <c r="M68" s="110">
        <v>94667500</v>
      </c>
      <c r="N68" s="128"/>
    </row>
    <row r="69" spans="1:14" ht="12.75" customHeight="1" x14ac:dyDescent="0.25">
      <c r="A69" s="163" t="s">
        <v>671</v>
      </c>
      <c r="B69" s="73"/>
      <c r="C69" s="130"/>
      <c r="D69" s="109"/>
      <c r="E69" s="109"/>
      <c r="F69" s="109"/>
      <c r="G69" s="109"/>
      <c r="H69" s="109"/>
      <c r="I69" s="109">
        <v>230000</v>
      </c>
      <c r="J69" s="171">
        <f>SUM(E69:I69)</f>
        <v>230000</v>
      </c>
      <c r="K69" s="75">
        <f>IF(D69=0,C69+J69,D69+J69)</f>
        <v>230000</v>
      </c>
      <c r="L69" s="109"/>
      <c r="M69" s="110"/>
      <c r="N69" s="128"/>
    </row>
    <row r="70" spans="1:14" ht="12.75" customHeight="1" x14ac:dyDescent="0.25">
      <c r="A70" s="163" t="s">
        <v>672</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1144</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572</v>
      </c>
      <c r="B72" s="73">
        <v>4</v>
      </c>
      <c r="C72" s="150">
        <f t="shared" ref="C72:M72" si="12">SUM(C68:C71)</f>
        <v>87699250</v>
      </c>
      <c r="D72" s="151">
        <f t="shared" si="12"/>
        <v>0</v>
      </c>
      <c r="E72" s="151">
        <f t="shared" si="12"/>
        <v>0</v>
      </c>
      <c r="F72" s="151">
        <f t="shared" si="12"/>
        <v>0</v>
      </c>
      <c r="G72" s="151">
        <f t="shared" si="12"/>
        <v>0</v>
      </c>
      <c r="H72" s="151">
        <f t="shared" si="12"/>
        <v>0</v>
      </c>
      <c r="I72" s="151">
        <f t="shared" si="12"/>
        <v>230000</v>
      </c>
      <c r="J72" s="151">
        <f t="shared" si="12"/>
        <v>230000</v>
      </c>
      <c r="K72" s="151">
        <f t="shared" si="12"/>
        <v>87929250</v>
      </c>
      <c r="L72" s="151">
        <f t="shared" si="12"/>
        <v>89549850</v>
      </c>
      <c r="M72" s="152">
        <f t="shared" si="12"/>
        <v>94667500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578</v>
      </c>
      <c r="B74" s="73"/>
      <c r="C74" s="130">
        <v>90000000</v>
      </c>
      <c r="D74" s="109"/>
      <c r="E74" s="109"/>
      <c r="F74" s="109"/>
      <c r="G74" s="109"/>
      <c r="H74" s="109"/>
      <c r="I74" s="109">
        <v>-50000000</v>
      </c>
      <c r="J74" s="171">
        <f>SUM(E74:I74)</f>
        <v>-50000000</v>
      </c>
      <c r="K74" s="75">
        <f>IF(D74=0,C74+J74,D74+J74)</f>
        <v>40000000</v>
      </c>
      <c r="L74" s="109">
        <v>20000000</v>
      </c>
      <c r="M74" s="110">
        <v>30000000</v>
      </c>
    </row>
    <row r="75" spans="1:14" ht="12.75" customHeight="1" x14ac:dyDescent="0.25">
      <c r="A75" s="165" t="s">
        <v>579</v>
      </c>
      <c r="B75" s="73"/>
      <c r="C75" s="130">
        <f>17735000-235000</f>
        <v>17500000</v>
      </c>
      <c r="D75" s="109"/>
      <c r="E75" s="109"/>
      <c r="F75" s="109"/>
      <c r="G75" s="109"/>
      <c r="H75" s="109"/>
      <c r="I75" s="109">
        <v>8288768</v>
      </c>
      <c r="J75" s="171">
        <f>SUM(E75:I75)</f>
        <v>8288768</v>
      </c>
      <c r="K75" s="75">
        <f>IF(D75=0,C75+J75,D75+J75)</f>
        <v>25788768</v>
      </c>
      <c r="L75" s="109">
        <f>15235000-235000</f>
        <v>15000000</v>
      </c>
      <c r="M75" s="110">
        <f>15235000-235000</f>
        <v>15000000</v>
      </c>
    </row>
    <row r="76" spans="1:14" ht="12.75" customHeight="1" x14ac:dyDescent="0.25">
      <c r="A76" s="155" t="s">
        <v>673</v>
      </c>
      <c r="B76" s="156"/>
      <c r="C76" s="157">
        <f>+C72+C74+C75</f>
        <v>195199250</v>
      </c>
      <c r="D76" s="117">
        <f t="shared" ref="D76:M76" si="13">+D72+D74+D75</f>
        <v>0</v>
      </c>
      <c r="E76" s="117">
        <f t="shared" si="13"/>
        <v>0</v>
      </c>
      <c r="F76" s="117">
        <f t="shared" si="13"/>
        <v>0</v>
      </c>
      <c r="G76" s="117">
        <f t="shared" si="13"/>
        <v>0</v>
      </c>
      <c r="H76" s="117">
        <f t="shared" si="13"/>
        <v>0</v>
      </c>
      <c r="I76" s="117">
        <f t="shared" si="13"/>
        <v>-41481232</v>
      </c>
      <c r="J76" s="117">
        <f t="shared" si="13"/>
        <v>-41481232</v>
      </c>
      <c r="K76" s="117">
        <f t="shared" si="13"/>
        <v>153718018</v>
      </c>
      <c r="L76" s="117">
        <f t="shared" si="13"/>
        <v>124549850</v>
      </c>
      <c r="M76" s="118">
        <f t="shared" si="13"/>
        <v>139667500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1047</v>
      </c>
      <c r="B78" s="93"/>
      <c r="C78" s="96"/>
      <c r="D78" s="96"/>
      <c r="E78" s="96"/>
      <c r="F78" s="96"/>
      <c r="G78" s="96"/>
      <c r="H78" s="96"/>
      <c r="I78" s="96"/>
      <c r="J78" s="96"/>
      <c r="K78" s="96"/>
      <c r="L78" s="96"/>
      <c r="M78" s="96"/>
    </row>
    <row r="79" spans="1:14" ht="13.5" customHeight="1" x14ac:dyDescent="0.25">
      <c r="A79" s="1407" t="s">
        <v>1048</v>
      </c>
      <c r="B79" s="1407"/>
      <c r="C79" s="1407"/>
      <c r="D79" s="1407"/>
      <c r="E79" s="1407"/>
      <c r="F79" s="1407"/>
      <c r="G79" s="1407"/>
      <c r="H79" s="1407"/>
      <c r="I79" s="1407"/>
      <c r="J79" s="1407"/>
      <c r="K79" s="1407"/>
      <c r="L79" s="1407"/>
      <c r="M79" s="1407"/>
    </row>
    <row r="80" spans="1:14" ht="12.75" customHeight="1" x14ac:dyDescent="0.25">
      <c r="A80" s="1408" t="s">
        <v>1145</v>
      </c>
      <c r="B80" s="1408"/>
      <c r="C80" s="1408"/>
      <c r="D80" s="1408"/>
      <c r="E80" s="1408"/>
      <c r="F80" s="1408"/>
      <c r="G80" s="1408"/>
      <c r="H80" s="1408"/>
      <c r="I80" s="1408"/>
      <c r="J80" s="1408"/>
      <c r="K80" s="1408"/>
      <c r="L80" s="1408"/>
      <c r="M80" s="166"/>
    </row>
    <row r="81" spans="1:13" ht="12.75" customHeight="1" x14ac:dyDescent="0.25">
      <c r="A81" s="1406" t="s">
        <v>1146</v>
      </c>
      <c r="B81" s="1406"/>
      <c r="C81" s="1406"/>
      <c r="D81" s="1406"/>
      <c r="E81" s="1406"/>
      <c r="F81" s="1406"/>
      <c r="G81" s="1406"/>
      <c r="H81" s="1406"/>
      <c r="I81" s="1406"/>
      <c r="J81" s="1406"/>
      <c r="K81" s="1406"/>
      <c r="L81" s="1406"/>
      <c r="M81" s="166"/>
    </row>
    <row r="82" spans="1:13" ht="12.75" customHeight="1" x14ac:dyDescent="0.25">
      <c r="A82" s="1395" t="s">
        <v>995</v>
      </c>
      <c r="B82" s="1395"/>
      <c r="C82" s="1395"/>
      <c r="D82" s="1395"/>
      <c r="E82" s="1395"/>
      <c r="F82" s="1395"/>
      <c r="G82" s="1395"/>
      <c r="H82" s="1395"/>
      <c r="I82" s="1395"/>
      <c r="J82" s="1395"/>
      <c r="K82" s="1395"/>
      <c r="L82" s="1395"/>
      <c r="M82" s="1395"/>
    </row>
    <row r="83" spans="1:13" ht="12.75" customHeight="1" x14ac:dyDescent="0.25">
      <c r="A83" s="1395" t="s">
        <v>1035</v>
      </c>
      <c r="B83" s="1395"/>
      <c r="C83" s="1395"/>
      <c r="D83" s="1395"/>
      <c r="E83" s="1395"/>
      <c r="F83" s="1395"/>
      <c r="G83" s="1395"/>
      <c r="H83" s="1395"/>
      <c r="I83" s="1395"/>
      <c r="J83" s="1395"/>
      <c r="K83" s="1395"/>
      <c r="L83" s="1395"/>
      <c r="M83" s="1395"/>
    </row>
    <row r="84" spans="1:13" ht="12.75" customHeight="1" x14ac:dyDescent="0.25">
      <c r="A84" s="1389" t="s">
        <v>1036</v>
      </c>
      <c r="B84" s="1389"/>
      <c r="C84" s="1389"/>
      <c r="D84" s="1389"/>
      <c r="E84" s="1389"/>
      <c r="F84" s="1389"/>
      <c r="G84" s="1389"/>
      <c r="H84" s="1389"/>
      <c r="I84" s="1389"/>
      <c r="J84" s="1389"/>
      <c r="K84" s="1389"/>
      <c r="L84" s="1389"/>
      <c r="M84" s="1389"/>
    </row>
    <row r="85" spans="1:13" ht="12.75" customHeight="1" x14ac:dyDescent="0.25">
      <c r="A85" s="1389" t="s">
        <v>1037</v>
      </c>
      <c r="B85" s="1389"/>
      <c r="C85" s="1389"/>
      <c r="D85" s="1389"/>
      <c r="E85" s="1389"/>
      <c r="F85" s="1389"/>
      <c r="G85" s="1389"/>
      <c r="H85" s="1389"/>
      <c r="I85" s="1389"/>
      <c r="J85" s="1389"/>
      <c r="K85" s="1389"/>
      <c r="L85" s="1389"/>
      <c r="M85" s="1389"/>
    </row>
    <row r="86" spans="1:13" ht="12.75" customHeight="1" x14ac:dyDescent="0.25">
      <c r="A86" s="99" t="s">
        <v>1033</v>
      </c>
      <c r="B86" s="93"/>
      <c r="C86" s="96"/>
      <c r="D86" s="96"/>
      <c r="E86" s="96"/>
      <c r="F86" s="96"/>
      <c r="G86" s="96"/>
      <c r="H86" s="96"/>
      <c r="I86" s="96"/>
      <c r="J86" s="96"/>
      <c r="K86" s="96"/>
      <c r="L86" s="96"/>
      <c r="M86" s="96"/>
    </row>
    <row r="87" spans="1:13" ht="26.25" customHeight="1" x14ac:dyDescent="0.25">
      <c r="A87" s="1389" t="s">
        <v>1034</v>
      </c>
      <c r="B87" s="1389"/>
      <c r="C87" s="1389"/>
      <c r="D87" s="1389"/>
      <c r="E87" s="1389"/>
      <c r="F87" s="1389"/>
      <c r="G87" s="1389"/>
      <c r="H87" s="1389"/>
      <c r="I87" s="1389"/>
      <c r="J87" s="1389"/>
      <c r="K87" s="1389"/>
      <c r="L87" s="1389"/>
      <c r="M87" s="1389"/>
    </row>
    <row r="88" spans="1:13" ht="12.75" customHeight="1" x14ac:dyDescent="0.25">
      <c r="A88" s="99" t="s">
        <v>638</v>
      </c>
      <c r="B88" s="93"/>
      <c r="C88" s="96"/>
      <c r="D88" s="96"/>
      <c r="E88" s="96"/>
      <c r="F88" s="96"/>
      <c r="G88" s="96"/>
      <c r="H88" s="96"/>
      <c r="I88" s="96"/>
      <c r="J88" s="96"/>
      <c r="K88" s="96"/>
      <c r="L88" s="96"/>
      <c r="M88" s="96"/>
    </row>
    <row r="89" spans="1:13" ht="12.75" customHeight="1" x14ac:dyDescent="0.25">
      <c r="A89" s="1389" t="s">
        <v>639</v>
      </c>
      <c r="B89" s="1389"/>
      <c r="C89" s="1389"/>
      <c r="D89" s="1389"/>
      <c r="E89" s="1389"/>
      <c r="F89" s="1389"/>
      <c r="G89" s="1389"/>
      <c r="H89" s="1389"/>
      <c r="I89" s="1389"/>
      <c r="J89" s="1389"/>
      <c r="K89" s="1389"/>
      <c r="L89" s="1389"/>
      <c r="M89" s="1389"/>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675</v>
      </c>
      <c r="B91" s="93"/>
      <c r="C91" s="167">
        <f>C65-C76</f>
        <v>0</v>
      </c>
      <c r="D91" s="102">
        <f>D65-D76</f>
        <v>0</v>
      </c>
      <c r="E91" s="102">
        <f>E65-E76</f>
        <v>0</v>
      </c>
      <c r="F91" s="102"/>
      <c r="G91" s="102"/>
      <c r="H91" s="102">
        <f>H65-H76</f>
        <v>0</v>
      </c>
      <c r="I91" s="102">
        <f>I65-I76</f>
        <v>0</v>
      </c>
      <c r="J91" s="102">
        <f>J65-J76</f>
        <v>0</v>
      </c>
      <c r="K91" s="102">
        <f>K65-K76</f>
        <v>0</v>
      </c>
      <c r="L91" s="102">
        <f>L65-L76</f>
        <v>0</v>
      </c>
      <c r="M91" s="167">
        <f>K23-K76</f>
        <v>-153718018</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336" zoomScaleNormal="100" workbookViewId="0">
      <selection activeCell="L189" sqref="L189:M189"/>
    </sheetView>
  </sheetViews>
  <sheetFormatPr defaultColWidth="8.7109375" defaultRowHeight="12.75" x14ac:dyDescent="0.2"/>
  <cols>
    <col min="1" max="1" width="27.42578125" style="876" customWidth="1"/>
    <col min="2" max="2" width="5.28515625" style="876" customWidth="1"/>
    <col min="3" max="13" width="10.140625" customWidth="1"/>
  </cols>
  <sheetData>
    <row r="1" spans="1:13" ht="13.5" x14ac:dyDescent="0.25">
      <c r="A1" s="859" t="str">
        <f>muni&amp;" - "&amp;_ADJ5&amp;" - B"&amp;" - "&amp;Date</f>
        <v>LIM333 Greater Tzaneen - Table B5 Adjustments Capital Expenditure Budget by vote and funding - B - 27/02/2019</v>
      </c>
      <c r="B1" s="860"/>
      <c r="C1" s="58"/>
      <c r="D1" s="5"/>
      <c r="E1" s="5"/>
      <c r="F1" s="5"/>
      <c r="G1" s="5"/>
      <c r="H1" s="5"/>
      <c r="I1" s="5"/>
      <c r="J1" s="5"/>
      <c r="K1" s="5"/>
      <c r="L1" s="5"/>
      <c r="M1" s="5"/>
    </row>
    <row r="2" spans="1:13" ht="25.5" x14ac:dyDescent="0.2">
      <c r="A2" s="1409" t="str">
        <f>Vdesc</f>
        <v>Vote Description</v>
      </c>
      <c r="B2" s="1411" t="str">
        <f>head27</f>
        <v>Ref</v>
      </c>
      <c r="C2" s="1390" t="str">
        <f>Head2</f>
        <v>Budget Year 2018/19</v>
      </c>
      <c r="D2" s="1391"/>
      <c r="E2" s="1391"/>
      <c r="F2" s="1391"/>
      <c r="G2" s="1391"/>
      <c r="H2" s="1391"/>
      <c r="I2" s="1391"/>
      <c r="J2" s="1391"/>
      <c r="K2" s="1391"/>
      <c r="L2" s="60" t="str">
        <f>Head10</f>
        <v>Budget Year +1 2019/20</v>
      </c>
      <c r="M2" s="61" t="str">
        <f>Head11</f>
        <v>Budget Year +2 2020/21</v>
      </c>
    </row>
    <row r="3" spans="1:13" ht="25.5" x14ac:dyDescent="0.2">
      <c r="A3" s="1410"/>
      <c r="B3" s="141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1" t="s">
        <v>604</v>
      </c>
      <c r="B4" s="1412"/>
      <c r="C4" s="65"/>
      <c r="D4" s="15">
        <v>3</v>
      </c>
      <c r="E4" s="15">
        <v>4</v>
      </c>
      <c r="F4" s="15">
        <v>5</v>
      </c>
      <c r="G4" s="15">
        <v>6</v>
      </c>
      <c r="H4" s="15">
        <v>7</v>
      </c>
      <c r="I4" s="15">
        <v>8</v>
      </c>
      <c r="J4" s="15">
        <v>9</v>
      </c>
      <c r="K4" s="15">
        <v>10</v>
      </c>
      <c r="L4" s="15"/>
      <c r="M4" s="17"/>
    </row>
    <row r="5" spans="1:13" ht="13.5" x14ac:dyDescent="0.25">
      <c r="A5" s="862" t="s">
        <v>605</v>
      </c>
      <c r="B5" s="1413"/>
      <c r="C5" s="67" t="s">
        <v>548</v>
      </c>
      <c r="D5" s="68" t="s">
        <v>549</v>
      </c>
      <c r="E5" s="68" t="s">
        <v>550</v>
      </c>
      <c r="F5" s="69" t="s">
        <v>551</v>
      </c>
      <c r="G5" s="69" t="s">
        <v>552</v>
      </c>
      <c r="H5" s="69" t="s">
        <v>553</v>
      </c>
      <c r="I5" s="70" t="s">
        <v>554</v>
      </c>
      <c r="J5" s="70" t="s">
        <v>555</v>
      </c>
      <c r="K5" s="70" t="s">
        <v>556</v>
      </c>
      <c r="L5" s="70"/>
      <c r="M5" s="71"/>
    </row>
    <row r="6" spans="1:13" ht="13.5" x14ac:dyDescent="0.25">
      <c r="A6" s="863" t="s">
        <v>1021</v>
      </c>
      <c r="B6" s="864"/>
      <c r="C6" s="742"/>
      <c r="D6" s="741"/>
      <c r="E6" s="741"/>
      <c r="F6" s="741"/>
      <c r="G6" s="741"/>
      <c r="H6" s="741"/>
      <c r="I6" s="741"/>
      <c r="J6" s="741"/>
      <c r="K6" s="741"/>
      <c r="L6" s="741"/>
      <c r="M6" s="770"/>
    </row>
    <row r="7" spans="1:13" ht="13.5" x14ac:dyDescent="0.25">
      <c r="A7" s="863" t="s">
        <v>1102</v>
      </c>
      <c r="B7" s="865">
        <v>2</v>
      </c>
      <c r="C7" s="778"/>
      <c r="D7" s="779"/>
      <c r="E7" s="779"/>
      <c r="F7" s="779"/>
      <c r="G7" s="779"/>
      <c r="H7" s="779"/>
      <c r="I7" s="779"/>
      <c r="J7" s="779"/>
      <c r="K7" s="779"/>
      <c r="L7" s="779"/>
      <c r="M7" s="780"/>
    </row>
    <row r="8" spans="1:13" ht="13.5" x14ac:dyDescent="0.25">
      <c r="A8" s="866" t="str">
        <f>'Org structure'!A2</f>
        <v>Vote 1 - Municipal Manager</v>
      </c>
      <c r="B8" s="867"/>
      <c r="C8" s="744">
        <f>SUM(C9:C18)</f>
        <v>0</v>
      </c>
      <c r="D8" s="743">
        <f t="shared" ref="D8:I8" si="0">SUM(D9:D18)</f>
        <v>0</v>
      </c>
      <c r="E8" s="743">
        <f t="shared" si="0"/>
        <v>0</v>
      </c>
      <c r="F8" s="743">
        <f t="shared" si="0"/>
        <v>0</v>
      </c>
      <c r="G8" s="743">
        <f t="shared" si="0"/>
        <v>0</v>
      </c>
      <c r="H8" s="743">
        <f t="shared" si="0"/>
        <v>0</v>
      </c>
      <c r="I8" s="743">
        <f t="shared" si="0"/>
        <v>0</v>
      </c>
      <c r="J8" s="75">
        <f t="shared" ref="J8:J71" si="1">SUM(E8:I8)</f>
        <v>0</v>
      </c>
      <c r="K8" s="75">
        <f t="shared" ref="K8:K71" si="2">IF(D8=0,C8+J8,D8+J8)</f>
        <v>0</v>
      </c>
      <c r="L8" s="743">
        <f>SUM(L9:L18)</f>
        <v>0</v>
      </c>
      <c r="M8" s="771">
        <f>SUM(M9:M18)</f>
        <v>0</v>
      </c>
    </row>
    <row r="9" spans="1:13" ht="13.5" x14ac:dyDescent="0.25">
      <c r="A9" s="868" t="str">
        <f>'Org structure'!E3</f>
        <v>1.1 - Administration Municipal Manager</v>
      </c>
      <c r="B9" s="865"/>
      <c r="C9" s="746"/>
      <c r="D9" s="745"/>
      <c r="E9" s="745"/>
      <c r="F9" s="745"/>
      <c r="G9" s="745"/>
      <c r="H9" s="745"/>
      <c r="I9" s="745"/>
      <c r="J9" s="75">
        <f t="shared" si="1"/>
        <v>0</v>
      </c>
      <c r="K9" s="75">
        <f t="shared" si="2"/>
        <v>0</v>
      </c>
      <c r="L9" s="745"/>
      <c r="M9" s="747"/>
    </row>
    <row r="10" spans="1:13" ht="13.5" x14ac:dyDescent="0.25">
      <c r="A10" s="868" t="str">
        <f>'Org structure'!E4</f>
        <v>1.2 - Internal Audit</v>
      </c>
      <c r="B10" s="865"/>
      <c r="C10" s="746"/>
      <c r="D10" s="745"/>
      <c r="E10" s="745"/>
      <c r="F10" s="745"/>
      <c r="G10" s="745"/>
      <c r="H10" s="745"/>
      <c r="I10" s="745"/>
      <c r="J10" s="75">
        <f t="shared" si="1"/>
        <v>0</v>
      </c>
      <c r="K10" s="75">
        <f t="shared" si="2"/>
        <v>0</v>
      </c>
      <c r="L10" s="745"/>
      <c r="M10" s="747"/>
    </row>
    <row r="11" spans="1:13" ht="13.5" x14ac:dyDescent="0.25">
      <c r="A11" s="868" t="str">
        <f>'Org structure'!E5</f>
        <v>1.4 - Strategic Support</v>
      </c>
      <c r="B11" s="865"/>
      <c r="C11" s="746"/>
      <c r="D11" s="745"/>
      <c r="E11" s="745"/>
      <c r="F11" s="745"/>
      <c r="G11" s="745"/>
      <c r="H11" s="745"/>
      <c r="I11" s="745"/>
      <c r="J11" s="75">
        <f t="shared" si="1"/>
        <v>0</v>
      </c>
      <c r="K11" s="75">
        <f t="shared" si="2"/>
        <v>0</v>
      </c>
      <c r="L11" s="745"/>
      <c r="M11" s="747"/>
    </row>
    <row r="12" spans="1:13" ht="13.5" x14ac:dyDescent="0.25">
      <c r="A12" s="868" t="str">
        <f>'Org structure'!E6</f>
        <v>1.5 - Risk Management</v>
      </c>
      <c r="B12" s="865"/>
      <c r="C12" s="746"/>
      <c r="D12" s="745"/>
      <c r="E12" s="745"/>
      <c r="F12" s="745"/>
      <c r="G12" s="745"/>
      <c r="H12" s="745"/>
      <c r="I12" s="745"/>
      <c r="J12" s="75">
        <f t="shared" si="1"/>
        <v>0</v>
      </c>
      <c r="K12" s="75">
        <f t="shared" si="2"/>
        <v>0</v>
      </c>
      <c r="L12" s="745"/>
      <c r="M12" s="747"/>
    </row>
    <row r="13" spans="1:13" ht="13.5" x14ac:dyDescent="0.25">
      <c r="A13" s="868" t="str">
        <f>'Org structure'!E7</f>
        <v>1.3 - Disaster Management</v>
      </c>
      <c r="B13" s="865"/>
      <c r="C13" s="746"/>
      <c r="D13" s="745"/>
      <c r="E13" s="745"/>
      <c r="F13" s="745"/>
      <c r="G13" s="745"/>
      <c r="H13" s="745"/>
      <c r="I13" s="745"/>
      <c r="J13" s="75">
        <f t="shared" si="1"/>
        <v>0</v>
      </c>
      <c r="K13" s="75">
        <f t="shared" si="2"/>
        <v>0</v>
      </c>
      <c r="L13" s="745"/>
      <c r="M13" s="747"/>
    </row>
    <row r="14" spans="1:13" ht="13.5" x14ac:dyDescent="0.25">
      <c r="A14" s="868" t="str">
        <f>'Org structure'!E8</f>
        <v>1.6 - Legal Services</v>
      </c>
      <c r="B14" s="865"/>
      <c r="C14" s="746"/>
      <c r="D14" s="745"/>
      <c r="E14" s="745"/>
      <c r="F14" s="745"/>
      <c r="G14" s="745"/>
      <c r="H14" s="745"/>
      <c r="I14" s="745"/>
      <c r="J14" s="75">
        <f t="shared" si="1"/>
        <v>0</v>
      </c>
      <c r="K14" s="75">
        <f t="shared" si="2"/>
        <v>0</v>
      </c>
      <c r="L14" s="745"/>
      <c r="M14" s="747"/>
    </row>
    <row r="15" spans="1:13" ht="13.5" x14ac:dyDescent="0.25">
      <c r="A15" s="868">
        <f>'Org structure'!E9</f>
        <v>0</v>
      </c>
      <c r="B15" s="865"/>
      <c r="C15" s="746"/>
      <c r="D15" s="745"/>
      <c r="E15" s="745"/>
      <c r="F15" s="745"/>
      <c r="G15" s="745"/>
      <c r="H15" s="745"/>
      <c r="I15" s="745"/>
      <c r="J15" s="75">
        <f t="shared" si="1"/>
        <v>0</v>
      </c>
      <c r="K15" s="75">
        <f t="shared" si="2"/>
        <v>0</v>
      </c>
      <c r="L15" s="745"/>
      <c r="M15" s="747"/>
    </row>
    <row r="16" spans="1:13" ht="13.5" x14ac:dyDescent="0.25">
      <c r="A16" s="868">
        <f>'Org structure'!E10</f>
        <v>0</v>
      </c>
      <c r="B16" s="865"/>
      <c r="C16" s="746"/>
      <c r="D16" s="745"/>
      <c r="E16" s="745"/>
      <c r="F16" s="745"/>
      <c r="G16" s="745"/>
      <c r="H16" s="745"/>
      <c r="I16" s="745"/>
      <c r="J16" s="75">
        <f t="shared" si="1"/>
        <v>0</v>
      </c>
      <c r="K16" s="75">
        <f t="shared" si="2"/>
        <v>0</v>
      </c>
      <c r="L16" s="745"/>
      <c r="M16" s="747"/>
    </row>
    <row r="17" spans="1:13" ht="13.5" x14ac:dyDescent="0.25">
      <c r="A17" s="868">
        <f>'Org structure'!E11</f>
        <v>0</v>
      </c>
      <c r="B17" s="865"/>
      <c r="C17" s="746"/>
      <c r="D17" s="745"/>
      <c r="E17" s="745"/>
      <c r="F17" s="745"/>
      <c r="G17" s="745"/>
      <c r="H17" s="745"/>
      <c r="I17" s="745"/>
      <c r="J17" s="75">
        <f t="shared" si="1"/>
        <v>0</v>
      </c>
      <c r="K17" s="75">
        <f t="shared" si="2"/>
        <v>0</v>
      </c>
      <c r="L17" s="745"/>
      <c r="M17" s="747"/>
    </row>
    <row r="18" spans="1:13" ht="13.5" x14ac:dyDescent="0.25">
      <c r="A18" s="868">
        <f>'Org structure'!E12</f>
        <v>0</v>
      </c>
      <c r="B18" s="865"/>
      <c r="C18" s="746"/>
      <c r="D18" s="745"/>
      <c r="E18" s="745"/>
      <c r="F18" s="745"/>
      <c r="G18" s="745"/>
      <c r="H18" s="745"/>
      <c r="I18" s="745"/>
      <c r="J18" s="75">
        <f t="shared" si="1"/>
        <v>0</v>
      </c>
      <c r="K18" s="75">
        <f t="shared" si="2"/>
        <v>0</v>
      </c>
      <c r="L18" s="745"/>
      <c r="M18" s="747"/>
    </row>
    <row r="19" spans="1:13" ht="13.5" x14ac:dyDescent="0.25">
      <c r="A19" s="866" t="str">
        <f>'Org structure'!A3</f>
        <v>Vote 2 - Planning &amp; Economic Development</v>
      </c>
      <c r="B19" s="867"/>
      <c r="C19" s="744">
        <f>SUM(C20:C29)</f>
        <v>0</v>
      </c>
      <c r="D19" s="743">
        <f t="shared" ref="D19:I19" si="3">SUM(D20:D29)</f>
        <v>0</v>
      </c>
      <c r="E19" s="743">
        <f t="shared" si="3"/>
        <v>0</v>
      </c>
      <c r="F19" s="743">
        <f t="shared" si="3"/>
        <v>0</v>
      </c>
      <c r="G19" s="743">
        <f t="shared" si="3"/>
        <v>0</v>
      </c>
      <c r="H19" s="743">
        <f t="shared" si="3"/>
        <v>0</v>
      </c>
      <c r="I19" s="743">
        <f t="shared" si="3"/>
        <v>0</v>
      </c>
      <c r="J19" s="75">
        <f t="shared" si="1"/>
        <v>0</v>
      </c>
      <c r="K19" s="75">
        <f t="shared" si="2"/>
        <v>0</v>
      </c>
      <c r="L19" s="743">
        <f>SUM(L20:L29)</f>
        <v>0</v>
      </c>
      <c r="M19" s="771">
        <f>SUM(M20:M29)</f>
        <v>0</v>
      </c>
    </row>
    <row r="20" spans="1:13" ht="13.5" x14ac:dyDescent="0.25">
      <c r="A20" s="868" t="str">
        <f>'Org structure'!E14</f>
        <v>2.1 - Administration Strategy &amp; Development</v>
      </c>
      <c r="B20" s="865"/>
      <c r="C20" s="746"/>
      <c r="D20" s="745"/>
      <c r="E20" s="745"/>
      <c r="F20" s="745"/>
      <c r="G20" s="745"/>
      <c r="H20" s="745"/>
      <c r="I20" s="745"/>
      <c r="J20" s="75">
        <f t="shared" si="1"/>
        <v>0</v>
      </c>
      <c r="K20" s="75">
        <f t="shared" si="2"/>
        <v>0</v>
      </c>
      <c r="L20" s="745"/>
      <c r="M20" s="747"/>
    </row>
    <row r="21" spans="1:13" ht="13.5" x14ac:dyDescent="0.25">
      <c r="A21" s="868" t="str">
        <f>'Org structure'!E15</f>
        <v>2.2 - Local Economic Development</v>
      </c>
      <c r="B21" s="865"/>
      <c r="C21" s="746"/>
      <c r="D21" s="745"/>
      <c r="E21" s="745"/>
      <c r="F21" s="745"/>
      <c r="G21" s="745"/>
      <c r="H21" s="745"/>
      <c r="I21" s="745"/>
      <c r="J21" s="75">
        <f t="shared" si="1"/>
        <v>0</v>
      </c>
      <c r="K21" s="75">
        <f t="shared" si="2"/>
        <v>0</v>
      </c>
      <c r="L21" s="745"/>
      <c r="M21" s="747"/>
    </row>
    <row r="22" spans="1:13" ht="13.5" x14ac:dyDescent="0.25">
      <c r="A22" s="868" t="str">
        <f>'Org structure'!E16</f>
        <v>2.3 - Town &amp; Regional Planning</v>
      </c>
      <c r="B22" s="865"/>
      <c r="C22" s="746"/>
      <c r="D22" s="745"/>
      <c r="E22" s="745"/>
      <c r="F22" s="745"/>
      <c r="G22" s="745"/>
      <c r="H22" s="745"/>
      <c r="I22" s="745"/>
      <c r="J22" s="75">
        <f t="shared" si="1"/>
        <v>0</v>
      </c>
      <c r="K22" s="75">
        <f t="shared" si="2"/>
        <v>0</v>
      </c>
      <c r="L22" s="745"/>
      <c r="M22" s="747"/>
    </row>
    <row r="23" spans="1:13" ht="13.5" x14ac:dyDescent="0.25">
      <c r="A23" s="868" t="str">
        <f>'Org structure'!E17</f>
        <v>2.4 - Housing Administration</v>
      </c>
      <c r="B23" s="865"/>
      <c r="C23" s="746"/>
      <c r="D23" s="745"/>
      <c r="E23" s="745"/>
      <c r="F23" s="745"/>
      <c r="G23" s="745"/>
      <c r="H23" s="745"/>
      <c r="I23" s="745"/>
      <c r="J23" s="75">
        <f t="shared" si="1"/>
        <v>0</v>
      </c>
      <c r="K23" s="75">
        <f t="shared" si="2"/>
        <v>0</v>
      </c>
      <c r="L23" s="745"/>
      <c r="M23" s="747"/>
    </row>
    <row r="24" spans="1:13" ht="13.5" x14ac:dyDescent="0.25">
      <c r="A24" s="868" t="str">
        <f>'Org structure'!E18</f>
        <v>2.5 - SATELITE OFFICE: NKOWANKOWA</v>
      </c>
      <c r="B24" s="865"/>
      <c r="C24" s="746"/>
      <c r="D24" s="745"/>
      <c r="E24" s="745"/>
      <c r="F24" s="745"/>
      <c r="G24" s="745"/>
      <c r="H24" s="745"/>
      <c r="I24" s="745"/>
      <c r="J24" s="75">
        <f t="shared" si="1"/>
        <v>0</v>
      </c>
      <c r="K24" s="75">
        <f t="shared" si="2"/>
        <v>0</v>
      </c>
      <c r="L24" s="745"/>
      <c r="M24" s="747"/>
    </row>
    <row r="25" spans="1:13" ht="13.5" x14ac:dyDescent="0.25">
      <c r="A25" s="868" t="str">
        <f>'Org structure'!E19</f>
        <v>2.6 - SATELITE OFFICE: LENYENYE</v>
      </c>
      <c r="B25" s="865"/>
      <c r="C25" s="746"/>
      <c r="D25" s="745"/>
      <c r="E25" s="745"/>
      <c r="F25" s="745"/>
      <c r="G25" s="745"/>
      <c r="H25" s="745"/>
      <c r="I25" s="745"/>
      <c r="J25" s="75">
        <f t="shared" si="1"/>
        <v>0</v>
      </c>
      <c r="K25" s="75">
        <f t="shared" si="2"/>
        <v>0</v>
      </c>
      <c r="L25" s="745"/>
      <c r="M25" s="747"/>
    </row>
    <row r="26" spans="1:13" ht="13.5" x14ac:dyDescent="0.25">
      <c r="A26" s="868" t="str">
        <f>'Org structure'!E20</f>
        <v>2.7 - SATELITE OFFICE: LETSITELE</v>
      </c>
      <c r="B26" s="865"/>
      <c r="C26" s="746"/>
      <c r="D26" s="745"/>
      <c r="E26" s="745"/>
      <c r="F26" s="745"/>
      <c r="G26" s="745"/>
      <c r="H26" s="745"/>
      <c r="I26" s="745"/>
      <c r="J26" s="75">
        <f t="shared" si="1"/>
        <v>0</v>
      </c>
      <c r="K26" s="75">
        <f t="shared" si="2"/>
        <v>0</v>
      </c>
      <c r="L26" s="745"/>
      <c r="M26" s="747"/>
    </row>
    <row r="27" spans="1:13" ht="13.5" x14ac:dyDescent="0.25">
      <c r="A27" s="868">
        <f>'Org structure'!E21</f>
        <v>0</v>
      </c>
      <c r="B27" s="865"/>
      <c r="C27" s="746"/>
      <c r="D27" s="745"/>
      <c r="E27" s="745"/>
      <c r="F27" s="745"/>
      <c r="G27" s="745"/>
      <c r="H27" s="745"/>
      <c r="I27" s="745"/>
      <c r="J27" s="75">
        <f t="shared" si="1"/>
        <v>0</v>
      </c>
      <c r="K27" s="75">
        <f t="shared" si="2"/>
        <v>0</v>
      </c>
      <c r="L27" s="745"/>
      <c r="M27" s="747"/>
    </row>
    <row r="28" spans="1:13" ht="13.5" x14ac:dyDescent="0.25">
      <c r="A28" s="868">
        <f>'Org structure'!E22</f>
        <v>0</v>
      </c>
      <c r="B28" s="865"/>
      <c r="C28" s="746"/>
      <c r="D28" s="745"/>
      <c r="E28" s="745"/>
      <c r="F28" s="745"/>
      <c r="G28" s="745"/>
      <c r="H28" s="745"/>
      <c r="I28" s="745"/>
      <c r="J28" s="75">
        <f t="shared" si="1"/>
        <v>0</v>
      </c>
      <c r="K28" s="75">
        <f t="shared" si="2"/>
        <v>0</v>
      </c>
      <c r="L28" s="745"/>
      <c r="M28" s="747"/>
    </row>
    <row r="29" spans="1:13" ht="13.5" x14ac:dyDescent="0.25">
      <c r="A29" s="868">
        <f>'Org structure'!E23</f>
        <v>0</v>
      </c>
      <c r="B29" s="865"/>
      <c r="C29" s="746"/>
      <c r="D29" s="745"/>
      <c r="E29" s="745"/>
      <c r="F29" s="745"/>
      <c r="G29" s="745"/>
      <c r="H29" s="745"/>
      <c r="I29" s="745"/>
      <c r="J29" s="75">
        <f t="shared" si="1"/>
        <v>0</v>
      </c>
      <c r="K29" s="75">
        <f t="shared" si="2"/>
        <v>0</v>
      </c>
      <c r="L29" s="745"/>
      <c r="M29" s="747"/>
    </row>
    <row r="30" spans="1:13" ht="13.5" x14ac:dyDescent="0.25">
      <c r="A30" s="866" t="str">
        <f>'Org structure'!A4</f>
        <v>Vote 3 - Financial Services</v>
      </c>
      <c r="B30" s="867"/>
      <c r="C30" s="744">
        <f>SUM(C31:C40)</f>
        <v>0</v>
      </c>
      <c r="D30" s="743">
        <f t="shared" ref="D30:I30" si="4">SUM(D31:D40)</f>
        <v>0</v>
      </c>
      <c r="E30" s="743">
        <f t="shared" si="4"/>
        <v>0</v>
      </c>
      <c r="F30" s="743">
        <f t="shared" si="4"/>
        <v>0</v>
      </c>
      <c r="G30" s="743">
        <f t="shared" si="4"/>
        <v>0</v>
      </c>
      <c r="H30" s="743">
        <f t="shared" si="4"/>
        <v>0</v>
      </c>
      <c r="I30" s="743">
        <f t="shared" si="4"/>
        <v>0</v>
      </c>
      <c r="J30" s="75">
        <f t="shared" si="1"/>
        <v>0</v>
      </c>
      <c r="K30" s="75">
        <f t="shared" si="2"/>
        <v>0</v>
      </c>
      <c r="L30" s="743">
        <f>SUM(L31:L40)</f>
        <v>0</v>
      </c>
      <c r="M30" s="771">
        <f>SUM(M31:M40)</f>
        <v>0</v>
      </c>
    </row>
    <row r="31" spans="1:13" ht="13.5" x14ac:dyDescent="0.25">
      <c r="A31" s="868" t="str">
        <f>'Org structure'!E25</f>
        <v>3.1 - Administration Finance</v>
      </c>
      <c r="B31" s="865"/>
      <c r="C31" s="746"/>
      <c r="D31" s="745"/>
      <c r="E31" s="745"/>
      <c r="F31" s="745"/>
      <c r="G31" s="745"/>
      <c r="H31" s="745"/>
      <c r="I31" s="745"/>
      <c r="J31" s="75">
        <f t="shared" si="1"/>
        <v>0</v>
      </c>
      <c r="K31" s="75">
        <f t="shared" si="2"/>
        <v>0</v>
      </c>
      <c r="L31" s="745"/>
      <c r="M31" s="747"/>
    </row>
    <row r="32" spans="1:13" ht="13.5" x14ac:dyDescent="0.25">
      <c r="A32" s="868" t="str">
        <f>'Org structure'!E26</f>
        <v>3.2 - Budget office</v>
      </c>
      <c r="B32" s="865"/>
      <c r="C32" s="746"/>
      <c r="D32" s="745"/>
      <c r="E32" s="745"/>
      <c r="F32" s="745"/>
      <c r="G32" s="745"/>
      <c r="H32" s="745"/>
      <c r="I32" s="745"/>
      <c r="J32" s="75">
        <f t="shared" si="1"/>
        <v>0</v>
      </c>
      <c r="K32" s="75">
        <f t="shared" si="2"/>
        <v>0</v>
      </c>
      <c r="L32" s="745"/>
      <c r="M32" s="747"/>
    </row>
    <row r="33" spans="1:13" ht="13.5" x14ac:dyDescent="0.25">
      <c r="A33" s="868" t="str">
        <f>'Org structure'!E27</f>
        <v>3.3 - Revenue</v>
      </c>
      <c r="B33" s="865"/>
      <c r="C33" s="746"/>
      <c r="D33" s="745"/>
      <c r="E33" s="745"/>
      <c r="F33" s="745"/>
      <c r="G33" s="745"/>
      <c r="H33" s="745"/>
      <c r="I33" s="745"/>
      <c r="J33" s="75">
        <f t="shared" si="1"/>
        <v>0</v>
      </c>
      <c r="K33" s="75">
        <f t="shared" si="2"/>
        <v>0</v>
      </c>
      <c r="L33" s="745"/>
      <c r="M33" s="747"/>
    </row>
    <row r="34" spans="1:13" ht="13.5" x14ac:dyDescent="0.25">
      <c r="A34" s="868" t="str">
        <f>'Org structure'!E28</f>
        <v>3.4 - Expenditure</v>
      </c>
      <c r="B34" s="865"/>
      <c r="C34" s="746"/>
      <c r="D34" s="745"/>
      <c r="E34" s="745"/>
      <c r="F34" s="745"/>
      <c r="G34" s="745"/>
      <c r="H34" s="745"/>
      <c r="I34" s="745"/>
      <c r="J34" s="75">
        <f t="shared" si="1"/>
        <v>0</v>
      </c>
      <c r="K34" s="75">
        <f t="shared" si="2"/>
        <v>0</v>
      </c>
      <c r="L34" s="745"/>
      <c r="M34" s="747"/>
    </row>
    <row r="35" spans="1:13" ht="13.5" x14ac:dyDescent="0.25">
      <c r="A35" s="868" t="str">
        <f>'Org structure'!E29</f>
        <v>3.5 - Inventory</v>
      </c>
      <c r="B35" s="865"/>
      <c r="C35" s="746"/>
      <c r="D35" s="745"/>
      <c r="E35" s="745"/>
      <c r="F35" s="745"/>
      <c r="G35" s="745"/>
      <c r="H35" s="745"/>
      <c r="I35" s="745"/>
      <c r="J35" s="75">
        <f t="shared" si="1"/>
        <v>0</v>
      </c>
      <c r="K35" s="75">
        <f t="shared" si="2"/>
        <v>0</v>
      </c>
      <c r="L35" s="745"/>
      <c r="M35" s="747"/>
    </row>
    <row r="36" spans="1:13" ht="13.5" x14ac:dyDescent="0.25">
      <c r="A36" s="868" t="str">
        <f>'Org structure'!E30</f>
        <v>3.6 - Supply Chain Management</v>
      </c>
      <c r="B36" s="865"/>
      <c r="C36" s="746"/>
      <c r="D36" s="745"/>
      <c r="E36" s="745"/>
      <c r="F36" s="745"/>
      <c r="G36" s="745"/>
      <c r="H36" s="745"/>
      <c r="I36" s="745"/>
      <c r="J36" s="75">
        <f t="shared" si="1"/>
        <v>0</v>
      </c>
      <c r="K36" s="75">
        <f t="shared" si="2"/>
        <v>0</v>
      </c>
      <c r="L36" s="745"/>
      <c r="M36" s="747"/>
    </row>
    <row r="37" spans="1:13" ht="13.5" x14ac:dyDescent="0.25">
      <c r="A37" s="868">
        <f>'Org structure'!E31</f>
        <v>0</v>
      </c>
      <c r="B37" s="865"/>
      <c r="C37" s="746"/>
      <c r="D37" s="745"/>
      <c r="E37" s="745"/>
      <c r="F37" s="745"/>
      <c r="G37" s="745"/>
      <c r="H37" s="745"/>
      <c r="I37" s="745"/>
      <c r="J37" s="75">
        <f t="shared" si="1"/>
        <v>0</v>
      </c>
      <c r="K37" s="75">
        <f t="shared" si="2"/>
        <v>0</v>
      </c>
      <c r="L37" s="745"/>
      <c r="M37" s="747"/>
    </row>
    <row r="38" spans="1:13" ht="13.5" x14ac:dyDescent="0.25">
      <c r="A38" s="868">
        <f>'Org structure'!E32</f>
        <v>0</v>
      </c>
      <c r="B38" s="865"/>
      <c r="C38" s="746"/>
      <c r="D38" s="745"/>
      <c r="E38" s="745"/>
      <c r="F38" s="745"/>
      <c r="G38" s="745"/>
      <c r="H38" s="745"/>
      <c r="I38" s="745"/>
      <c r="J38" s="75">
        <f t="shared" si="1"/>
        <v>0</v>
      </c>
      <c r="K38" s="75">
        <f t="shared" si="2"/>
        <v>0</v>
      </c>
      <c r="L38" s="745"/>
      <c r="M38" s="747"/>
    </row>
    <row r="39" spans="1:13" ht="13.5" x14ac:dyDescent="0.25">
      <c r="A39" s="868">
        <f>'Org structure'!E33</f>
        <v>0</v>
      </c>
      <c r="B39" s="865"/>
      <c r="C39" s="746"/>
      <c r="D39" s="745"/>
      <c r="E39" s="745"/>
      <c r="F39" s="745"/>
      <c r="G39" s="745"/>
      <c r="H39" s="745"/>
      <c r="I39" s="745"/>
      <c r="J39" s="75">
        <f t="shared" si="1"/>
        <v>0</v>
      </c>
      <c r="K39" s="75">
        <f t="shared" si="2"/>
        <v>0</v>
      </c>
      <c r="L39" s="745"/>
      <c r="M39" s="747"/>
    </row>
    <row r="40" spans="1:13" ht="13.5" x14ac:dyDescent="0.25">
      <c r="A40" s="868">
        <f>'Org structure'!E34</f>
        <v>0</v>
      </c>
      <c r="B40" s="865"/>
      <c r="C40" s="746"/>
      <c r="D40" s="745"/>
      <c r="E40" s="745"/>
      <c r="F40" s="745"/>
      <c r="G40" s="745"/>
      <c r="H40" s="745"/>
      <c r="I40" s="745"/>
      <c r="J40" s="75">
        <f t="shared" si="1"/>
        <v>0</v>
      </c>
      <c r="K40" s="75">
        <f t="shared" si="2"/>
        <v>0</v>
      </c>
      <c r="L40" s="745"/>
      <c r="M40" s="747"/>
    </row>
    <row r="41" spans="1:13" ht="13.5" x14ac:dyDescent="0.25">
      <c r="A41" s="866" t="str">
        <f>'Org structure'!A5</f>
        <v>Vote 4 - Corporate Services</v>
      </c>
      <c r="B41" s="867"/>
      <c r="C41" s="744">
        <f>SUM(C42:C51)</f>
        <v>0</v>
      </c>
      <c r="D41" s="743">
        <f t="shared" ref="D41:I41" si="5">SUM(D42:D51)</f>
        <v>0</v>
      </c>
      <c r="E41" s="743">
        <f t="shared" si="5"/>
        <v>0</v>
      </c>
      <c r="F41" s="743">
        <f t="shared" si="5"/>
        <v>0</v>
      </c>
      <c r="G41" s="743">
        <f t="shared" si="5"/>
        <v>0</v>
      </c>
      <c r="H41" s="743">
        <f t="shared" si="5"/>
        <v>0</v>
      </c>
      <c r="I41" s="743">
        <f t="shared" si="5"/>
        <v>0</v>
      </c>
      <c r="J41" s="75">
        <f t="shared" si="1"/>
        <v>0</v>
      </c>
      <c r="K41" s="75">
        <f t="shared" si="2"/>
        <v>0</v>
      </c>
      <c r="L41" s="743">
        <f>SUM(L42:L51)</f>
        <v>0</v>
      </c>
      <c r="M41" s="771">
        <f>SUM(M42:M51)</f>
        <v>0</v>
      </c>
    </row>
    <row r="42" spans="1:13" ht="13.5" x14ac:dyDescent="0.25">
      <c r="A42" s="868" t="str">
        <f>'Org structure'!E36</f>
        <v>4.1 - Communications</v>
      </c>
      <c r="B42" s="865"/>
      <c r="C42" s="746"/>
      <c r="D42" s="745"/>
      <c r="E42" s="745"/>
      <c r="F42" s="745"/>
      <c r="G42" s="745"/>
      <c r="H42" s="745"/>
      <c r="I42" s="745"/>
      <c r="J42" s="75">
        <f t="shared" si="1"/>
        <v>0</v>
      </c>
      <c r="K42" s="75">
        <f t="shared" si="2"/>
        <v>0</v>
      </c>
      <c r="L42" s="745"/>
      <c r="M42" s="747"/>
    </row>
    <row r="43" spans="1:13" ht="13.5" x14ac:dyDescent="0.25">
      <c r="A43" s="868" t="str">
        <f>'Org structure'!E37</f>
        <v>4.2 - Public Participation &amp; Project Support</v>
      </c>
      <c r="B43" s="865"/>
      <c r="C43" s="746"/>
      <c r="D43" s="745"/>
      <c r="E43" s="745"/>
      <c r="F43" s="745"/>
      <c r="G43" s="745"/>
      <c r="H43" s="745"/>
      <c r="I43" s="745"/>
      <c r="J43" s="75">
        <f t="shared" si="1"/>
        <v>0</v>
      </c>
      <c r="K43" s="75">
        <f t="shared" si="2"/>
        <v>0</v>
      </c>
      <c r="L43" s="745"/>
      <c r="M43" s="747"/>
    </row>
    <row r="44" spans="1:13" ht="13.5" x14ac:dyDescent="0.25">
      <c r="A44" s="868" t="str">
        <f>'Org structure'!E38</f>
        <v>4.8 - Information Technolgy</v>
      </c>
      <c r="B44" s="865"/>
      <c r="C44" s="746"/>
      <c r="D44" s="745"/>
      <c r="E44" s="745"/>
      <c r="F44" s="745"/>
      <c r="G44" s="745"/>
      <c r="H44" s="745"/>
      <c r="I44" s="745"/>
      <c r="J44" s="75">
        <f t="shared" si="1"/>
        <v>0</v>
      </c>
      <c r="K44" s="75">
        <f t="shared" si="2"/>
        <v>0</v>
      </c>
      <c r="L44" s="745"/>
      <c r="M44" s="747"/>
    </row>
    <row r="45" spans="1:13" ht="13.5" x14ac:dyDescent="0.25">
      <c r="A45" s="868" t="str">
        <f>'Org structure'!E39</f>
        <v>4.3 - Administration HR &amp; Corporate</v>
      </c>
      <c r="B45" s="865"/>
      <c r="C45" s="746"/>
      <c r="D45" s="745"/>
      <c r="E45" s="745"/>
      <c r="F45" s="745"/>
      <c r="G45" s="745"/>
      <c r="H45" s="745"/>
      <c r="I45" s="745"/>
      <c r="J45" s="75">
        <f t="shared" si="1"/>
        <v>0</v>
      </c>
      <c r="K45" s="75">
        <f t="shared" si="2"/>
        <v>0</v>
      </c>
      <c r="L45" s="745"/>
      <c r="M45" s="747"/>
    </row>
    <row r="46" spans="1:13" ht="13.5" x14ac:dyDescent="0.25">
      <c r="A46" s="868" t="str">
        <f>'Org structure'!E40</f>
        <v>4.4 - Human Resources</v>
      </c>
      <c r="B46" s="865"/>
      <c r="C46" s="746"/>
      <c r="D46" s="745"/>
      <c r="E46" s="745"/>
      <c r="F46" s="745"/>
      <c r="G46" s="745"/>
      <c r="H46" s="745"/>
      <c r="I46" s="745"/>
      <c r="J46" s="75">
        <f t="shared" si="1"/>
        <v>0</v>
      </c>
      <c r="K46" s="75">
        <f t="shared" si="2"/>
        <v>0</v>
      </c>
      <c r="L46" s="745"/>
      <c r="M46" s="747"/>
    </row>
    <row r="47" spans="1:13" ht="13.5" x14ac:dyDescent="0.25">
      <c r="A47" s="868" t="str">
        <f>'Org structure'!E41</f>
        <v>4.5 - Occupational Health &amp; safety</v>
      </c>
      <c r="B47" s="865"/>
      <c r="C47" s="746"/>
      <c r="D47" s="745"/>
      <c r="E47" s="745"/>
      <c r="F47" s="745"/>
      <c r="G47" s="745"/>
      <c r="H47" s="745"/>
      <c r="I47" s="745"/>
      <c r="J47" s="75">
        <f t="shared" si="1"/>
        <v>0</v>
      </c>
      <c r="K47" s="75">
        <f t="shared" si="2"/>
        <v>0</v>
      </c>
      <c r="L47" s="745"/>
      <c r="M47" s="747"/>
    </row>
    <row r="48" spans="1:13" ht="13.5" x14ac:dyDescent="0.25">
      <c r="A48" s="868" t="str">
        <f>'Org structure'!E42</f>
        <v>4.6 - Corporate Services</v>
      </c>
      <c r="B48" s="865"/>
      <c r="C48" s="746"/>
      <c r="D48" s="745"/>
      <c r="E48" s="745"/>
      <c r="F48" s="745"/>
      <c r="G48" s="745"/>
      <c r="H48" s="745"/>
      <c r="I48" s="745"/>
      <c r="J48" s="75">
        <f t="shared" si="1"/>
        <v>0</v>
      </c>
      <c r="K48" s="75">
        <f t="shared" si="2"/>
        <v>0</v>
      </c>
      <c r="L48" s="745"/>
      <c r="M48" s="747"/>
    </row>
    <row r="49" spans="1:13" ht="13.5" x14ac:dyDescent="0.25">
      <c r="A49" s="868" t="str">
        <f>'Org structure'!E43</f>
        <v>4.7 - Council Expenditure</v>
      </c>
      <c r="B49" s="865"/>
      <c r="C49" s="746"/>
      <c r="D49" s="745"/>
      <c r="E49" s="745"/>
      <c r="F49" s="745"/>
      <c r="G49" s="745"/>
      <c r="H49" s="745"/>
      <c r="I49" s="745"/>
      <c r="J49" s="75">
        <f t="shared" si="1"/>
        <v>0</v>
      </c>
      <c r="K49" s="75">
        <f t="shared" si="2"/>
        <v>0</v>
      </c>
      <c r="L49" s="745"/>
      <c r="M49" s="747"/>
    </row>
    <row r="50" spans="1:13" ht="13.5" x14ac:dyDescent="0.25">
      <c r="A50" s="868" t="str">
        <f>'Org structure'!E44</f>
        <v>4.10 - [Name of sub-vote]</v>
      </c>
      <c r="B50" s="865"/>
      <c r="C50" s="746"/>
      <c r="D50" s="745"/>
      <c r="E50" s="745"/>
      <c r="F50" s="745"/>
      <c r="G50" s="745"/>
      <c r="H50" s="745"/>
      <c r="I50" s="745"/>
      <c r="J50" s="75">
        <f t="shared" si="1"/>
        <v>0</v>
      </c>
      <c r="K50" s="75">
        <f t="shared" si="2"/>
        <v>0</v>
      </c>
      <c r="L50" s="745"/>
      <c r="M50" s="747"/>
    </row>
    <row r="51" spans="1:13" ht="13.5" x14ac:dyDescent="0.25">
      <c r="A51" s="868">
        <f>'Org structure'!E45</f>
        <v>0</v>
      </c>
      <c r="B51" s="865"/>
      <c r="C51" s="746"/>
      <c r="D51" s="745"/>
      <c r="E51" s="745"/>
      <c r="F51" s="745"/>
      <c r="G51" s="745"/>
      <c r="H51" s="745"/>
      <c r="I51" s="745"/>
      <c r="J51" s="75">
        <f t="shared" si="1"/>
        <v>0</v>
      </c>
      <c r="K51" s="75">
        <f t="shared" si="2"/>
        <v>0</v>
      </c>
      <c r="L51" s="745"/>
      <c r="M51" s="747"/>
    </row>
    <row r="52" spans="1:13" ht="13.5" x14ac:dyDescent="0.25">
      <c r="A52" s="866" t="str">
        <f>'Org structure'!A6</f>
        <v>Vote 5 - Community Services</v>
      </c>
      <c r="B52" s="867"/>
      <c r="C52" s="744">
        <f>SUM(C53:C62)</f>
        <v>0</v>
      </c>
      <c r="D52" s="743">
        <f t="shared" ref="D52:I52" si="6">SUM(D53:D62)</f>
        <v>0</v>
      </c>
      <c r="E52" s="743">
        <f t="shared" si="6"/>
        <v>0</v>
      </c>
      <c r="F52" s="743">
        <f t="shared" si="6"/>
        <v>0</v>
      </c>
      <c r="G52" s="743">
        <f t="shared" si="6"/>
        <v>0</v>
      </c>
      <c r="H52" s="743">
        <f t="shared" si="6"/>
        <v>0</v>
      </c>
      <c r="I52" s="743">
        <f t="shared" si="6"/>
        <v>0</v>
      </c>
      <c r="J52" s="75">
        <f t="shared" si="1"/>
        <v>0</v>
      </c>
      <c r="K52" s="75">
        <f t="shared" si="2"/>
        <v>0</v>
      </c>
      <c r="L52" s="743">
        <f>SUM(L53:L62)</f>
        <v>0</v>
      </c>
      <c r="M52" s="771">
        <f>SUM(M53:M62)</f>
        <v>0</v>
      </c>
    </row>
    <row r="53" spans="1:13" ht="13.5" x14ac:dyDescent="0.25">
      <c r="A53" s="868" t="str">
        <f>'Org structure'!E47</f>
        <v>5.1 - Parks &amp; Recreation</v>
      </c>
      <c r="B53" s="865"/>
      <c r="C53" s="746"/>
      <c r="D53" s="745"/>
      <c r="E53" s="745"/>
      <c r="F53" s="745"/>
      <c r="G53" s="745"/>
      <c r="H53" s="745"/>
      <c r="I53" s="745"/>
      <c r="J53" s="75">
        <f t="shared" si="1"/>
        <v>0</v>
      </c>
      <c r="K53" s="75">
        <f t="shared" si="2"/>
        <v>0</v>
      </c>
      <c r="L53" s="745"/>
      <c r="M53" s="747"/>
    </row>
    <row r="54" spans="1:13" ht="13.5" x14ac:dyDescent="0.25">
      <c r="A54" s="868" t="str">
        <f>'Org structure'!E48</f>
        <v>5.2 - Administration Community Services</v>
      </c>
      <c r="B54" s="865"/>
      <c r="C54" s="746"/>
      <c r="D54" s="745"/>
      <c r="E54" s="745"/>
      <c r="F54" s="745"/>
      <c r="G54" s="745"/>
      <c r="H54" s="745"/>
      <c r="I54" s="745"/>
      <c r="J54" s="75">
        <f t="shared" si="1"/>
        <v>0</v>
      </c>
      <c r="K54" s="75">
        <f t="shared" si="2"/>
        <v>0</v>
      </c>
      <c r="L54" s="745"/>
      <c r="M54" s="747"/>
    </row>
    <row r="55" spans="1:13" ht="13.5" x14ac:dyDescent="0.25">
      <c r="A55" s="868" t="str">
        <f>'Org structure'!E49</f>
        <v>5.3 - Community Health Services</v>
      </c>
      <c r="B55" s="865"/>
      <c r="C55" s="746"/>
      <c r="D55" s="745"/>
      <c r="E55" s="745"/>
      <c r="F55" s="745"/>
      <c r="G55" s="745"/>
      <c r="H55" s="745"/>
      <c r="I55" s="745"/>
      <c r="J55" s="75">
        <f t="shared" si="1"/>
        <v>0</v>
      </c>
      <c r="K55" s="75">
        <f t="shared" si="2"/>
        <v>0</v>
      </c>
      <c r="L55" s="745"/>
      <c r="M55" s="747"/>
    </row>
    <row r="56" spans="1:13" ht="13.5" x14ac:dyDescent="0.25">
      <c r="A56" s="868" t="str">
        <f>'Org structure'!E50</f>
        <v>5.4 - Enviromental Health Services</v>
      </c>
      <c r="B56" s="869"/>
      <c r="C56" s="746"/>
      <c r="D56" s="745"/>
      <c r="E56" s="745"/>
      <c r="F56" s="745"/>
      <c r="G56" s="745"/>
      <c r="H56" s="745"/>
      <c r="I56" s="745"/>
      <c r="J56" s="75">
        <f t="shared" si="1"/>
        <v>0</v>
      </c>
      <c r="K56" s="75">
        <f t="shared" si="2"/>
        <v>0</v>
      </c>
      <c r="L56" s="745"/>
      <c r="M56" s="747"/>
    </row>
    <row r="57" spans="1:13" ht="13.5" x14ac:dyDescent="0.25">
      <c r="A57" s="868" t="str">
        <f>'Org structure'!E51</f>
        <v>5.5 - Library Services</v>
      </c>
      <c r="B57" s="865"/>
      <c r="C57" s="746"/>
      <c r="D57" s="745"/>
      <c r="E57" s="745"/>
      <c r="F57" s="745"/>
      <c r="G57" s="745"/>
      <c r="H57" s="745"/>
      <c r="I57" s="745"/>
      <c r="J57" s="75">
        <f t="shared" si="1"/>
        <v>0</v>
      </c>
      <c r="K57" s="75">
        <f t="shared" si="2"/>
        <v>0</v>
      </c>
      <c r="L57" s="745"/>
      <c r="M57" s="747"/>
    </row>
    <row r="58" spans="1:13" ht="13.5" x14ac:dyDescent="0.25">
      <c r="A58" s="868" t="str">
        <f>'Org structure'!E52</f>
        <v>5.6 - Solid Waste</v>
      </c>
      <c r="B58" s="865"/>
      <c r="C58" s="746"/>
      <c r="D58" s="745"/>
      <c r="E58" s="745"/>
      <c r="F58" s="745"/>
      <c r="G58" s="745"/>
      <c r="H58" s="745"/>
      <c r="I58" s="745"/>
      <c r="J58" s="75">
        <f t="shared" si="1"/>
        <v>0</v>
      </c>
      <c r="K58" s="75">
        <f t="shared" si="2"/>
        <v>0</v>
      </c>
      <c r="L58" s="745"/>
      <c r="M58" s="747"/>
    </row>
    <row r="59" spans="1:13" ht="13.5" x14ac:dyDescent="0.25">
      <c r="A59" s="868" t="str">
        <f>'Org structure'!E53</f>
        <v>5.7 - Street Cleansing</v>
      </c>
      <c r="B59" s="865"/>
      <c r="C59" s="746"/>
      <c r="D59" s="745"/>
      <c r="E59" s="745"/>
      <c r="F59" s="745"/>
      <c r="G59" s="745"/>
      <c r="H59" s="745"/>
      <c r="I59" s="745"/>
      <c r="J59" s="75">
        <f t="shared" si="1"/>
        <v>0</v>
      </c>
      <c r="K59" s="75">
        <f t="shared" si="2"/>
        <v>0</v>
      </c>
      <c r="L59" s="745"/>
      <c r="M59" s="747"/>
    </row>
    <row r="60" spans="1:13" ht="13.5" x14ac:dyDescent="0.25">
      <c r="A60" s="868" t="str">
        <f>'Org structure'!E54</f>
        <v>5.8 - Public Toilets</v>
      </c>
      <c r="B60" s="865"/>
      <c r="C60" s="746"/>
      <c r="D60" s="745"/>
      <c r="E60" s="745"/>
      <c r="F60" s="745"/>
      <c r="G60" s="745"/>
      <c r="H60" s="745"/>
      <c r="I60" s="745"/>
      <c r="J60" s="75">
        <f t="shared" si="1"/>
        <v>0</v>
      </c>
      <c r="K60" s="75">
        <f t="shared" si="2"/>
        <v>0</v>
      </c>
      <c r="L60" s="745"/>
      <c r="M60" s="747"/>
    </row>
    <row r="61" spans="1:13" ht="13.5" x14ac:dyDescent="0.25">
      <c r="A61" s="868">
        <f>'Org structure'!E55</f>
        <v>0</v>
      </c>
      <c r="B61" s="865"/>
      <c r="C61" s="746"/>
      <c r="D61" s="745"/>
      <c r="E61" s="745"/>
      <c r="F61" s="745"/>
      <c r="G61" s="745"/>
      <c r="H61" s="745"/>
      <c r="I61" s="745"/>
      <c r="J61" s="75">
        <f t="shared" si="1"/>
        <v>0</v>
      </c>
      <c r="K61" s="75">
        <f t="shared" si="2"/>
        <v>0</v>
      </c>
      <c r="L61" s="745"/>
      <c r="M61" s="747"/>
    </row>
    <row r="62" spans="1:13" ht="13.5" x14ac:dyDescent="0.25">
      <c r="A62" s="868">
        <f>'Org structure'!E56</f>
        <v>0</v>
      </c>
      <c r="B62" s="865"/>
      <c r="C62" s="746"/>
      <c r="D62" s="745"/>
      <c r="E62" s="745"/>
      <c r="F62" s="745"/>
      <c r="G62" s="745"/>
      <c r="H62" s="745"/>
      <c r="I62" s="745"/>
      <c r="J62" s="75">
        <f t="shared" si="1"/>
        <v>0</v>
      </c>
      <c r="K62" s="75">
        <f t="shared" si="2"/>
        <v>0</v>
      </c>
      <c r="L62" s="745"/>
      <c r="M62" s="747"/>
    </row>
    <row r="63" spans="1:13" ht="13.5" x14ac:dyDescent="0.25">
      <c r="A63" s="866" t="str">
        <f>'Org structure'!A7</f>
        <v>Vote 6 - Community Services</v>
      </c>
      <c r="B63" s="867"/>
      <c r="C63" s="744">
        <f>SUM(C64:C73)</f>
        <v>0</v>
      </c>
      <c r="D63" s="743">
        <f t="shared" ref="D63:I63" si="7">SUM(D64:D73)</f>
        <v>0</v>
      </c>
      <c r="E63" s="743">
        <f t="shared" si="7"/>
        <v>0</v>
      </c>
      <c r="F63" s="743">
        <f t="shared" si="7"/>
        <v>0</v>
      </c>
      <c r="G63" s="743">
        <f t="shared" si="7"/>
        <v>0</v>
      </c>
      <c r="H63" s="743">
        <f t="shared" si="7"/>
        <v>0</v>
      </c>
      <c r="I63" s="743">
        <f t="shared" si="7"/>
        <v>0</v>
      </c>
      <c r="J63" s="75">
        <f t="shared" si="1"/>
        <v>0</v>
      </c>
      <c r="K63" s="75">
        <f t="shared" si="2"/>
        <v>0</v>
      </c>
      <c r="L63" s="743">
        <f>SUM(L64:L73)</f>
        <v>0</v>
      </c>
      <c r="M63" s="771">
        <f>SUM(M64:M73)</f>
        <v>0</v>
      </c>
    </row>
    <row r="64" spans="1:13" ht="13.5" x14ac:dyDescent="0.25">
      <c r="A64" s="868" t="str">
        <f>'Org structure'!E58</f>
        <v>6.2 - Administration Transport,safety,Security</v>
      </c>
      <c r="B64" s="865"/>
      <c r="C64" s="746"/>
      <c r="D64" s="745"/>
      <c r="E64" s="745"/>
      <c r="F64" s="745"/>
      <c r="G64" s="745"/>
      <c r="H64" s="745"/>
      <c r="I64" s="745"/>
      <c r="J64" s="75">
        <f t="shared" si="1"/>
        <v>0</v>
      </c>
      <c r="K64" s="75">
        <f t="shared" si="2"/>
        <v>0</v>
      </c>
      <c r="L64" s="745"/>
      <c r="M64" s="747"/>
    </row>
    <row r="65" spans="1:13" ht="13.5" x14ac:dyDescent="0.25">
      <c r="A65" s="868" t="str">
        <f>'Org structure'!E59</f>
        <v>6.3 - Vehicle licencing</v>
      </c>
      <c r="B65" s="865"/>
      <c r="C65" s="746"/>
      <c r="D65" s="745"/>
      <c r="E65" s="745"/>
      <c r="F65" s="745"/>
      <c r="G65" s="745"/>
      <c r="H65" s="745"/>
      <c r="I65" s="745"/>
      <c r="J65" s="75">
        <f t="shared" si="1"/>
        <v>0</v>
      </c>
      <c r="K65" s="75">
        <f t="shared" si="2"/>
        <v>0</v>
      </c>
      <c r="L65" s="745"/>
      <c r="M65" s="747"/>
    </row>
    <row r="66" spans="1:13" ht="13.5" x14ac:dyDescent="0.25">
      <c r="A66" s="868" t="str">
        <f>'Org structure'!E60</f>
        <v>6.1 - Traffic services</v>
      </c>
      <c r="B66" s="865"/>
      <c r="C66" s="746"/>
      <c r="D66" s="745"/>
      <c r="E66" s="745"/>
      <c r="F66" s="745"/>
      <c r="G66" s="745"/>
      <c r="H66" s="745"/>
      <c r="I66" s="745"/>
      <c r="J66" s="75">
        <f t="shared" si="1"/>
        <v>0</v>
      </c>
      <c r="K66" s="75">
        <f t="shared" si="2"/>
        <v>0</v>
      </c>
      <c r="L66" s="745"/>
      <c r="M66" s="747"/>
    </row>
    <row r="67" spans="1:13" ht="13.5" x14ac:dyDescent="0.25">
      <c r="A67" s="868">
        <f>'Org structure'!E61</f>
        <v>0</v>
      </c>
      <c r="B67" s="865"/>
      <c r="C67" s="746"/>
      <c r="D67" s="745"/>
      <c r="E67" s="745"/>
      <c r="F67" s="745"/>
      <c r="G67" s="745"/>
      <c r="H67" s="745"/>
      <c r="I67" s="745"/>
      <c r="J67" s="75">
        <f t="shared" si="1"/>
        <v>0</v>
      </c>
      <c r="K67" s="75">
        <f t="shared" si="2"/>
        <v>0</v>
      </c>
      <c r="L67" s="745"/>
      <c r="M67" s="747"/>
    </row>
    <row r="68" spans="1:13" ht="13.5" x14ac:dyDescent="0.25">
      <c r="A68" s="868">
        <f>'Org structure'!E62</f>
        <v>0</v>
      </c>
      <c r="B68" s="865"/>
      <c r="C68" s="746"/>
      <c r="D68" s="745"/>
      <c r="E68" s="745"/>
      <c r="F68" s="745"/>
      <c r="G68" s="745"/>
      <c r="H68" s="745"/>
      <c r="I68" s="745"/>
      <c r="J68" s="75">
        <f t="shared" si="1"/>
        <v>0</v>
      </c>
      <c r="K68" s="75">
        <f t="shared" si="2"/>
        <v>0</v>
      </c>
      <c r="L68" s="745"/>
      <c r="M68" s="747"/>
    </row>
    <row r="69" spans="1:13" ht="13.5" x14ac:dyDescent="0.25">
      <c r="A69" s="868">
        <f>'Org structure'!E63</f>
        <v>0</v>
      </c>
      <c r="B69" s="865"/>
      <c r="C69" s="746"/>
      <c r="D69" s="745"/>
      <c r="E69" s="745"/>
      <c r="F69" s="745"/>
      <c r="G69" s="745"/>
      <c r="H69" s="745"/>
      <c r="I69" s="745"/>
      <c r="J69" s="75">
        <f t="shared" si="1"/>
        <v>0</v>
      </c>
      <c r="K69" s="75">
        <f t="shared" si="2"/>
        <v>0</v>
      </c>
      <c r="L69" s="745"/>
      <c r="M69" s="747"/>
    </row>
    <row r="70" spans="1:13" ht="13.5" x14ac:dyDescent="0.25">
      <c r="A70" s="868">
        <f>'Org structure'!E64</f>
        <v>0</v>
      </c>
      <c r="B70" s="865"/>
      <c r="C70" s="746"/>
      <c r="D70" s="745"/>
      <c r="E70" s="745"/>
      <c r="F70" s="745"/>
      <c r="G70" s="745"/>
      <c r="H70" s="745"/>
      <c r="I70" s="745"/>
      <c r="J70" s="75">
        <f t="shared" si="1"/>
        <v>0</v>
      </c>
      <c r="K70" s="75">
        <f t="shared" si="2"/>
        <v>0</v>
      </c>
      <c r="L70" s="745"/>
      <c r="M70" s="747"/>
    </row>
    <row r="71" spans="1:13" ht="13.5" x14ac:dyDescent="0.25">
      <c r="A71" s="868">
        <f>'Org structure'!E65</f>
        <v>0</v>
      </c>
      <c r="B71" s="865"/>
      <c r="C71" s="746"/>
      <c r="D71" s="745"/>
      <c r="E71" s="745"/>
      <c r="F71" s="745"/>
      <c r="G71" s="745"/>
      <c r="H71" s="745"/>
      <c r="I71" s="745"/>
      <c r="J71" s="75">
        <f t="shared" si="1"/>
        <v>0</v>
      </c>
      <c r="K71" s="75">
        <f t="shared" si="2"/>
        <v>0</v>
      </c>
      <c r="L71" s="745"/>
      <c r="M71" s="747"/>
    </row>
    <row r="72" spans="1:13" ht="13.5" x14ac:dyDescent="0.25">
      <c r="A72" s="868">
        <f>'Org structure'!E66</f>
        <v>0</v>
      </c>
      <c r="B72" s="865"/>
      <c r="C72" s="746"/>
      <c r="D72" s="745"/>
      <c r="E72" s="745"/>
      <c r="F72" s="745"/>
      <c r="G72" s="745"/>
      <c r="H72" s="745"/>
      <c r="I72" s="745"/>
      <c r="J72" s="75">
        <f t="shared" ref="J72:J135" si="8">SUM(E72:I72)</f>
        <v>0</v>
      </c>
      <c r="K72" s="75">
        <f t="shared" ref="K72:K135" si="9">IF(D72=0,C72+J72,D72+J72)</f>
        <v>0</v>
      </c>
      <c r="L72" s="745"/>
      <c r="M72" s="747"/>
    </row>
    <row r="73" spans="1:13" ht="13.5" x14ac:dyDescent="0.25">
      <c r="A73" s="868">
        <f>'Org structure'!E67</f>
        <v>0</v>
      </c>
      <c r="B73" s="865"/>
      <c r="C73" s="746"/>
      <c r="D73" s="745"/>
      <c r="E73" s="745"/>
      <c r="F73" s="745"/>
      <c r="G73" s="745"/>
      <c r="H73" s="745"/>
      <c r="I73" s="745"/>
      <c r="J73" s="75">
        <f t="shared" si="8"/>
        <v>0</v>
      </c>
      <c r="K73" s="75">
        <f t="shared" si="9"/>
        <v>0</v>
      </c>
      <c r="L73" s="745"/>
      <c r="M73" s="747"/>
    </row>
    <row r="74" spans="1:13" ht="13.5" x14ac:dyDescent="0.25">
      <c r="A74" s="866" t="str">
        <f>'Org structure'!A8</f>
        <v>Vote 7 - Electrical Engineering Services</v>
      </c>
      <c r="B74" s="867"/>
      <c r="C74" s="744">
        <f>SUM(C75:C84)</f>
        <v>0</v>
      </c>
      <c r="D74" s="743">
        <f t="shared" ref="D74:I74" si="10">SUM(D75:D84)</f>
        <v>0</v>
      </c>
      <c r="E74" s="743">
        <f t="shared" si="10"/>
        <v>0</v>
      </c>
      <c r="F74" s="743">
        <f t="shared" si="10"/>
        <v>0</v>
      </c>
      <c r="G74" s="743">
        <f t="shared" si="10"/>
        <v>0</v>
      </c>
      <c r="H74" s="743">
        <f t="shared" si="10"/>
        <v>0</v>
      </c>
      <c r="I74" s="743">
        <f t="shared" si="10"/>
        <v>0</v>
      </c>
      <c r="J74" s="75">
        <f t="shared" si="8"/>
        <v>0</v>
      </c>
      <c r="K74" s="75">
        <f t="shared" si="9"/>
        <v>0</v>
      </c>
      <c r="L74" s="743">
        <f>SUM(L75:L84)</f>
        <v>0</v>
      </c>
      <c r="M74" s="771">
        <f>SUM(M75:M84)</f>
        <v>0</v>
      </c>
    </row>
    <row r="75" spans="1:13" ht="13.5" x14ac:dyDescent="0.25">
      <c r="A75" s="868" t="str">
        <f>'Org structure'!E69</f>
        <v>7.1 - Administration Electrical Engineering</v>
      </c>
      <c r="B75" s="865"/>
      <c r="C75" s="746"/>
      <c r="D75" s="745"/>
      <c r="E75" s="745"/>
      <c r="F75" s="745"/>
      <c r="G75" s="745"/>
      <c r="H75" s="745"/>
      <c r="I75" s="745"/>
      <c r="J75" s="75">
        <f t="shared" si="8"/>
        <v>0</v>
      </c>
      <c r="K75" s="75">
        <f t="shared" si="9"/>
        <v>0</v>
      </c>
      <c r="L75" s="745"/>
      <c r="M75" s="747"/>
    </row>
    <row r="76" spans="1:13" ht="13.5" x14ac:dyDescent="0.25">
      <c r="A76" s="868" t="str">
        <f>'Org structure'!E70</f>
        <v>7.2 - Operations &amp; Maintenance: Rural</v>
      </c>
      <c r="B76" s="865"/>
      <c r="C76" s="746"/>
      <c r="D76" s="745"/>
      <c r="E76" s="745"/>
      <c r="F76" s="745"/>
      <c r="G76" s="745"/>
      <c r="H76" s="745"/>
      <c r="I76" s="745"/>
      <c r="J76" s="75">
        <f t="shared" si="8"/>
        <v>0</v>
      </c>
      <c r="K76" s="75">
        <f t="shared" si="9"/>
        <v>0</v>
      </c>
      <c r="L76" s="745"/>
      <c r="M76" s="747"/>
    </row>
    <row r="77" spans="1:13" ht="13.5" x14ac:dyDescent="0.25">
      <c r="A77" s="868" t="str">
        <f>'Org structure'!E71</f>
        <v>7.3 - Operations &amp; Maintenance: Town</v>
      </c>
      <c r="B77" s="865"/>
      <c r="C77" s="746"/>
      <c r="D77" s="745"/>
      <c r="E77" s="745"/>
      <c r="F77" s="745"/>
      <c r="G77" s="745"/>
      <c r="H77" s="745"/>
      <c r="I77" s="745"/>
      <c r="J77" s="75">
        <f t="shared" si="8"/>
        <v>0</v>
      </c>
      <c r="K77" s="75">
        <f t="shared" si="9"/>
        <v>0</v>
      </c>
      <c r="L77" s="745"/>
      <c r="M77" s="747"/>
    </row>
    <row r="78" spans="1:13" ht="13.5" x14ac:dyDescent="0.25">
      <c r="A78" s="868">
        <f>'Org structure'!E72</f>
        <v>0</v>
      </c>
      <c r="B78" s="865"/>
      <c r="C78" s="746"/>
      <c r="D78" s="745"/>
      <c r="E78" s="745"/>
      <c r="F78" s="745"/>
      <c r="G78" s="745"/>
      <c r="H78" s="745"/>
      <c r="I78" s="745"/>
      <c r="J78" s="75">
        <f t="shared" si="8"/>
        <v>0</v>
      </c>
      <c r="K78" s="75">
        <f t="shared" si="9"/>
        <v>0</v>
      </c>
      <c r="L78" s="745"/>
      <c r="M78" s="747"/>
    </row>
    <row r="79" spans="1:13" ht="13.5" x14ac:dyDescent="0.25">
      <c r="A79" s="868">
        <f>'Org structure'!E73</f>
        <v>0</v>
      </c>
      <c r="B79" s="865"/>
      <c r="C79" s="746"/>
      <c r="D79" s="745"/>
      <c r="E79" s="745"/>
      <c r="F79" s="745"/>
      <c r="G79" s="745"/>
      <c r="H79" s="745"/>
      <c r="I79" s="745"/>
      <c r="J79" s="75">
        <f t="shared" si="8"/>
        <v>0</v>
      </c>
      <c r="K79" s="75">
        <f t="shared" si="9"/>
        <v>0</v>
      </c>
      <c r="L79" s="745"/>
      <c r="M79" s="747"/>
    </row>
    <row r="80" spans="1:13" ht="13.5" x14ac:dyDescent="0.25">
      <c r="A80" s="868">
        <f>'Org structure'!E74</f>
        <v>0</v>
      </c>
      <c r="B80" s="865"/>
      <c r="C80" s="746"/>
      <c r="D80" s="745"/>
      <c r="E80" s="745"/>
      <c r="F80" s="745"/>
      <c r="G80" s="745"/>
      <c r="H80" s="745"/>
      <c r="I80" s="745"/>
      <c r="J80" s="75">
        <f t="shared" si="8"/>
        <v>0</v>
      </c>
      <c r="K80" s="75">
        <f t="shared" si="9"/>
        <v>0</v>
      </c>
      <c r="L80" s="745"/>
      <c r="M80" s="747"/>
    </row>
    <row r="81" spans="1:13" ht="13.5" x14ac:dyDescent="0.25">
      <c r="A81" s="868">
        <f>'Org structure'!E75</f>
        <v>0</v>
      </c>
      <c r="B81" s="865"/>
      <c r="C81" s="746"/>
      <c r="D81" s="745"/>
      <c r="E81" s="745"/>
      <c r="F81" s="745"/>
      <c r="G81" s="745"/>
      <c r="H81" s="745"/>
      <c r="I81" s="745"/>
      <c r="J81" s="75">
        <f t="shared" si="8"/>
        <v>0</v>
      </c>
      <c r="K81" s="75">
        <f t="shared" si="9"/>
        <v>0</v>
      </c>
      <c r="L81" s="745"/>
      <c r="M81" s="747"/>
    </row>
    <row r="82" spans="1:13" ht="13.5" x14ac:dyDescent="0.25">
      <c r="A82" s="868">
        <f>'Org structure'!E76</f>
        <v>0</v>
      </c>
      <c r="B82" s="865"/>
      <c r="C82" s="746"/>
      <c r="D82" s="745"/>
      <c r="E82" s="745"/>
      <c r="F82" s="745"/>
      <c r="G82" s="745"/>
      <c r="H82" s="745"/>
      <c r="I82" s="745"/>
      <c r="J82" s="75">
        <f t="shared" si="8"/>
        <v>0</v>
      </c>
      <c r="K82" s="75">
        <f t="shared" si="9"/>
        <v>0</v>
      </c>
      <c r="L82" s="745"/>
      <c r="M82" s="747"/>
    </row>
    <row r="83" spans="1:13" ht="13.5" x14ac:dyDescent="0.25">
      <c r="A83" s="868">
        <f>'Org structure'!E77</f>
        <v>0</v>
      </c>
      <c r="B83" s="865"/>
      <c r="C83" s="746"/>
      <c r="D83" s="745"/>
      <c r="E83" s="745"/>
      <c r="F83" s="745"/>
      <c r="G83" s="745"/>
      <c r="H83" s="745"/>
      <c r="I83" s="745"/>
      <c r="J83" s="75">
        <f t="shared" si="8"/>
        <v>0</v>
      </c>
      <c r="K83" s="75">
        <f t="shared" si="9"/>
        <v>0</v>
      </c>
      <c r="L83" s="745"/>
      <c r="M83" s="747"/>
    </row>
    <row r="84" spans="1:13" ht="13.5" x14ac:dyDescent="0.25">
      <c r="A84" s="868">
        <f>'Org structure'!E78</f>
        <v>0</v>
      </c>
      <c r="B84" s="865"/>
      <c r="C84" s="746"/>
      <c r="D84" s="745"/>
      <c r="E84" s="745"/>
      <c r="F84" s="745"/>
      <c r="G84" s="745"/>
      <c r="H84" s="745"/>
      <c r="I84" s="745"/>
      <c r="J84" s="75">
        <f t="shared" si="8"/>
        <v>0</v>
      </c>
      <c r="K84" s="75">
        <f t="shared" si="9"/>
        <v>0</v>
      </c>
      <c r="L84" s="745"/>
      <c r="M84" s="747"/>
    </row>
    <row r="85" spans="1:13" ht="13.5" x14ac:dyDescent="0.25">
      <c r="A85" s="866" t="str">
        <f>'Org structure'!A9</f>
        <v>Vote 8 - Engineering Services</v>
      </c>
      <c r="B85" s="865"/>
      <c r="C85" s="744">
        <f>SUM(C86:C95)</f>
        <v>0</v>
      </c>
      <c r="D85" s="743">
        <f t="shared" ref="D85:I85" si="11">SUM(D86:D95)</f>
        <v>0</v>
      </c>
      <c r="E85" s="743">
        <f t="shared" si="11"/>
        <v>0</v>
      </c>
      <c r="F85" s="743">
        <f t="shared" si="11"/>
        <v>0</v>
      </c>
      <c r="G85" s="743">
        <f t="shared" si="11"/>
        <v>0</v>
      </c>
      <c r="H85" s="743">
        <f t="shared" si="11"/>
        <v>0</v>
      </c>
      <c r="I85" s="743">
        <f t="shared" si="11"/>
        <v>0</v>
      </c>
      <c r="J85" s="75">
        <f t="shared" si="8"/>
        <v>0</v>
      </c>
      <c r="K85" s="75">
        <f t="shared" si="9"/>
        <v>0</v>
      </c>
      <c r="L85" s="743">
        <f>SUM(L86:L95)</f>
        <v>0</v>
      </c>
      <c r="M85" s="771">
        <f>SUM(M86:M95)</f>
        <v>0</v>
      </c>
    </row>
    <row r="86" spans="1:13" ht="13.5" x14ac:dyDescent="0.25">
      <c r="A86" s="868" t="str">
        <f>'Org structure'!E80</f>
        <v>8.1 - Fleet Management</v>
      </c>
      <c r="B86" s="865"/>
      <c r="C86" s="746"/>
      <c r="D86" s="745"/>
      <c r="E86" s="745"/>
      <c r="F86" s="745"/>
      <c r="G86" s="745"/>
      <c r="H86" s="745"/>
      <c r="I86" s="745"/>
      <c r="J86" s="75">
        <f t="shared" si="8"/>
        <v>0</v>
      </c>
      <c r="K86" s="75">
        <f t="shared" si="9"/>
        <v>0</v>
      </c>
      <c r="L86" s="745"/>
      <c r="M86" s="747"/>
    </row>
    <row r="87" spans="1:13" ht="13.5" x14ac:dyDescent="0.25">
      <c r="A87" s="868" t="str">
        <f>'Org structure'!E81</f>
        <v>8.2 - Administration Civil Engineering</v>
      </c>
      <c r="B87" s="865"/>
      <c r="C87" s="746"/>
      <c r="D87" s="745"/>
      <c r="E87" s="745"/>
      <c r="F87" s="745"/>
      <c r="G87" s="745"/>
      <c r="H87" s="745"/>
      <c r="I87" s="745"/>
      <c r="J87" s="75">
        <f t="shared" si="8"/>
        <v>0</v>
      </c>
      <c r="K87" s="75">
        <f t="shared" si="9"/>
        <v>0</v>
      </c>
      <c r="L87" s="745"/>
      <c r="M87" s="747"/>
    </row>
    <row r="88" spans="1:13" ht="13.5" x14ac:dyDescent="0.25">
      <c r="A88" s="868" t="str">
        <f>'Org structure'!E82</f>
        <v>8.3 - Roads &amp; stormwater Management</v>
      </c>
      <c r="B88" s="865"/>
      <c r="C88" s="746"/>
      <c r="D88" s="745"/>
      <c r="E88" s="745"/>
      <c r="F88" s="745"/>
      <c r="G88" s="745"/>
      <c r="H88" s="745"/>
      <c r="I88" s="745"/>
      <c r="J88" s="75">
        <f t="shared" si="8"/>
        <v>0</v>
      </c>
      <c r="K88" s="75">
        <f t="shared" si="9"/>
        <v>0</v>
      </c>
      <c r="L88" s="745"/>
      <c r="M88" s="747"/>
    </row>
    <row r="89" spans="1:13" ht="13.5" x14ac:dyDescent="0.25">
      <c r="A89" s="868" t="str">
        <f>'Org structure'!E83</f>
        <v>8.4 - Water Networks</v>
      </c>
      <c r="B89" s="865"/>
      <c r="C89" s="746"/>
      <c r="D89" s="745"/>
      <c r="E89" s="745"/>
      <c r="F89" s="745"/>
      <c r="G89" s="745"/>
      <c r="H89" s="745"/>
      <c r="I89" s="745"/>
      <c r="J89" s="75">
        <f t="shared" si="8"/>
        <v>0</v>
      </c>
      <c r="K89" s="75">
        <f t="shared" si="9"/>
        <v>0</v>
      </c>
      <c r="L89" s="745"/>
      <c r="M89" s="747"/>
    </row>
    <row r="90" spans="1:13" ht="13.5" x14ac:dyDescent="0.25">
      <c r="A90" s="868" t="str">
        <f>'Org structure'!E84</f>
        <v>8.5 - Water Purification</v>
      </c>
      <c r="B90" s="865"/>
      <c r="C90" s="746"/>
      <c r="D90" s="745"/>
      <c r="E90" s="745"/>
      <c r="F90" s="745"/>
      <c r="G90" s="745"/>
      <c r="H90" s="745"/>
      <c r="I90" s="745"/>
      <c r="J90" s="75">
        <f t="shared" si="8"/>
        <v>0</v>
      </c>
      <c r="K90" s="75">
        <f t="shared" si="9"/>
        <v>0</v>
      </c>
      <c r="L90" s="745"/>
      <c r="M90" s="747"/>
    </row>
    <row r="91" spans="1:13" ht="13.5" x14ac:dyDescent="0.25">
      <c r="A91" s="868" t="str">
        <f>'Org structure'!E85</f>
        <v>8.6 - Building &amp; Housing</v>
      </c>
      <c r="B91" s="865"/>
      <c r="C91" s="746"/>
      <c r="D91" s="745"/>
      <c r="E91" s="745"/>
      <c r="F91" s="745"/>
      <c r="G91" s="745"/>
      <c r="H91" s="745"/>
      <c r="I91" s="745"/>
      <c r="J91" s="75">
        <f t="shared" si="8"/>
        <v>0</v>
      </c>
      <c r="K91" s="75">
        <f t="shared" si="9"/>
        <v>0</v>
      </c>
      <c r="L91" s="745"/>
      <c r="M91" s="747"/>
    </row>
    <row r="92" spans="1:13" ht="13.5" x14ac:dyDescent="0.25">
      <c r="A92" s="868" t="str">
        <f>'Org structure'!E86</f>
        <v>8.7 - Project Management</v>
      </c>
      <c r="B92" s="865"/>
      <c r="C92" s="746"/>
      <c r="D92" s="745"/>
      <c r="E92" s="745"/>
      <c r="F92" s="745"/>
      <c r="G92" s="745"/>
      <c r="H92" s="745"/>
      <c r="I92" s="745"/>
      <c r="J92" s="75">
        <f t="shared" si="8"/>
        <v>0</v>
      </c>
      <c r="K92" s="75">
        <f t="shared" si="9"/>
        <v>0</v>
      </c>
      <c r="L92" s="745"/>
      <c r="M92" s="747"/>
    </row>
    <row r="93" spans="1:13" ht="13.5" x14ac:dyDescent="0.25">
      <c r="A93" s="868" t="str">
        <f>'Org structure'!E87</f>
        <v>8.8 - Sewerage Purification</v>
      </c>
      <c r="B93" s="865"/>
      <c r="C93" s="746"/>
      <c r="D93" s="745"/>
      <c r="E93" s="745"/>
      <c r="F93" s="745"/>
      <c r="G93" s="745"/>
      <c r="H93" s="745"/>
      <c r="I93" s="745"/>
      <c r="J93" s="75">
        <f t="shared" si="8"/>
        <v>0</v>
      </c>
      <c r="K93" s="75">
        <f t="shared" si="9"/>
        <v>0</v>
      </c>
      <c r="L93" s="745"/>
      <c r="M93" s="747"/>
    </row>
    <row r="94" spans="1:13" ht="13.5" x14ac:dyDescent="0.25">
      <c r="A94" s="868">
        <f>'Org structure'!E88</f>
        <v>0</v>
      </c>
      <c r="B94" s="865"/>
      <c r="C94" s="746"/>
      <c r="D94" s="745"/>
      <c r="E94" s="745"/>
      <c r="F94" s="745"/>
      <c r="G94" s="745"/>
      <c r="H94" s="745"/>
      <c r="I94" s="745"/>
      <c r="J94" s="75">
        <f t="shared" si="8"/>
        <v>0</v>
      </c>
      <c r="K94" s="75">
        <f t="shared" si="9"/>
        <v>0</v>
      </c>
      <c r="L94" s="745"/>
      <c r="M94" s="747"/>
    </row>
    <row r="95" spans="1:13" ht="13.5" x14ac:dyDescent="0.25">
      <c r="A95" s="868">
        <f>'Org structure'!E89</f>
        <v>0</v>
      </c>
      <c r="B95" s="865"/>
      <c r="C95" s="746"/>
      <c r="D95" s="745"/>
      <c r="E95" s="745"/>
      <c r="F95" s="745"/>
      <c r="G95" s="745"/>
      <c r="H95" s="745"/>
      <c r="I95" s="745"/>
      <c r="J95" s="75">
        <f t="shared" si="8"/>
        <v>0</v>
      </c>
      <c r="K95" s="75">
        <f t="shared" si="9"/>
        <v>0</v>
      </c>
      <c r="L95" s="745"/>
      <c r="M95" s="747"/>
    </row>
    <row r="96" spans="1:13" ht="13.5" x14ac:dyDescent="0.25">
      <c r="A96" s="866" t="str">
        <f>'Org structure'!A10</f>
        <v>Vote 9 - [NAME OF VOTE 9]</v>
      </c>
      <c r="B96" s="865"/>
      <c r="C96" s="744">
        <f>SUM(C97:C106)</f>
        <v>0</v>
      </c>
      <c r="D96" s="743">
        <f t="shared" ref="D96:I96" si="12">SUM(D97:D106)</f>
        <v>0</v>
      </c>
      <c r="E96" s="743">
        <f t="shared" si="12"/>
        <v>0</v>
      </c>
      <c r="F96" s="743">
        <f t="shared" si="12"/>
        <v>0</v>
      </c>
      <c r="G96" s="743">
        <f t="shared" si="12"/>
        <v>0</v>
      </c>
      <c r="H96" s="743">
        <f t="shared" si="12"/>
        <v>0</v>
      </c>
      <c r="I96" s="743">
        <f t="shared" si="12"/>
        <v>0</v>
      </c>
      <c r="J96" s="75">
        <f t="shared" si="8"/>
        <v>0</v>
      </c>
      <c r="K96" s="75">
        <f t="shared" si="9"/>
        <v>0</v>
      </c>
      <c r="L96" s="743">
        <f>SUM(L97:L106)</f>
        <v>0</v>
      </c>
      <c r="M96" s="771">
        <f>SUM(M97:M106)</f>
        <v>0</v>
      </c>
    </row>
    <row r="97" spans="1:13" ht="13.5" x14ac:dyDescent="0.25">
      <c r="A97" s="868" t="str">
        <f>'Org structure'!E91</f>
        <v>9.1 - [Name of sub-vote]</v>
      </c>
      <c r="B97" s="865"/>
      <c r="C97" s="746"/>
      <c r="D97" s="745"/>
      <c r="E97" s="745"/>
      <c r="F97" s="745"/>
      <c r="G97" s="745"/>
      <c r="H97" s="745"/>
      <c r="I97" s="745"/>
      <c r="J97" s="75">
        <f t="shared" si="8"/>
        <v>0</v>
      </c>
      <c r="K97" s="75">
        <f t="shared" si="9"/>
        <v>0</v>
      </c>
      <c r="L97" s="745"/>
      <c r="M97" s="747"/>
    </row>
    <row r="98" spans="1:13" ht="13.5" x14ac:dyDescent="0.25">
      <c r="A98" s="868">
        <f>'Org structure'!E92</f>
        <v>0</v>
      </c>
      <c r="B98" s="865"/>
      <c r="C98" s="746"/>
      <c r="D98" s="745"/>
      <c r="E98" s="745"/>
      <c r="F98" s="745"/>
      <c r="G98" s="745"/>
      <c r="H98" s="745"/>
      <c r="I98" s="745"/>
      <c r="J98" s="75">
        <f t="shared" si="8"/>
        <v>0</v>
      </c>
      <c r="K98" s="75">
        <f t="shared" si="9"/>
        <v>0</v>
      </c>
      <c r="L98" s="745"/>
      <c r="M98" s="747"/>
    </row>
    <row r="99" spans="1:13" ht="13.5" x14ac:dyDescent="0.25">
      <c r="A99" s="868">
        <f>'Org structure'!E93</f>
        <v>0</v>
      </c>
      <c r="B99" s="865"/>
      <c r="C99" s="746"/>
      <c r="D99" s="745"/>
      <c r="E99" s="745"/>
      <c r="F99" s="745"/>
      <c r="G99" s="745"/>
      <c r="H99" s="745"/>
      <c r="I99" s="745"/>
      <c r="J99" s="75">
        <f t="shared" si="8"/>
        <v>0</v>
      </c>
      <c r="K99" s="75">
        <f t="shared" si="9"/>
        <v>0</v>
      </c>
      <c r="L99" s="745"/>
      <c r="M99" s="747"/>
    </row>
    <row r="100" spans="1:13" ht="13.5" x14ac:dyDescent="0.25">
      <c r="A100" s="868">
        <f>'Org structure'!E94</f>
        <v>0</v>
      </c>
      <c r="B100" s="865"/>
      <c r="C100" s="746"/>
      <c r="D100" s="745"/>
      <c r="E100" s="745"/>
      <c r="F100" s="745"/>
      <c r="G100" s="745"/>
      <c r="H100" s="745"/>
      <c r="I100" s="745"/>
      <c r="J100" s="75">
        <f t="shared" si="8"/>
        <v>0</v>
      </c>
      <c r="K100" s="75">
        <f t="shared" si="9"/>
        <v>0</v>
      </c>
      <c r="L100" s="745"/>
      <c r="M100" s="747"/>
    </row>
    <row r="101" spans="1:13" ht="13.5" x14ac:dyDescent="0.25">
      <c r="A101" s="868">
        <f>'Org structure'!E95</f>
        <v>0</v>
      </c>
      <c r="B101" s="865"/>
      <c r="C101" s="746"/>
      <c r="D101" s="745"/>
      <c r="E101" s="745"/>
      <c r="F101" s="745"/>
      <c r="G101" s="745"/>
      <c r="H101" s="745"/>
      <c r="I101" s="745"/>
      <c r="J101" s="75">
        <f t="shared" si="8"/>
        <v>0</v>
      </c>
      <c r="K101" s="75">
        <f t="shared" si="9"/>
        <v>0</v>
      </c>
      <c r="L101" s="745"/>
      <c r="M101" s="747"/>
    </row>
    <row r="102" spans="1:13" ht="13.5" x14ac:dyDescent="0.25">
      <c r="A102" s="868">
        <f>'Org structure'!E96</f>
        <v>0</v>
      </c>
      <c r="B102" s="865"/>
      <c r="C102" s="746"/>
      <c r="D102" s="745"/>
      <c r="E102" s="745"/>
      <c r="F102" s="745"/>
      <c r="G102" s="745"/>
      <c r="H102" s="745"/>
      <c r="I102" s="745"/>
      <c r="J102" s="75">
        <f t="shared" si="8"/>
        <v>0</v>
      </c>
      <c r="K102" s="75">
        <f t="shared" si="9"/>
        <v>0</v>
      </c>
      <c r="L102" s="745"/>
      <c r="M102" s="747"/>
    </row>
    <row r="103" spans="1:13" ht="13.5" x14ac:dyDescent="0.25">
      <c r="A103" s="868">
        <f>'Org structure'!E97</f>
        <v>0</v>
      </c>
      <c r="B103" s="865"/>
      <c r="C103" s="746"/>
      <c r="D103" s="745"/>
      <c r="E103" s="745"/>
      <c r="F103" s="745"/>
      <c r="G103" s="745"/>
      <c r="H103" s="745"/>
      <c r="I103" s="745"/>
      <c r="J103" s="75">
        <f t="shared" si="8"/>
        <v>0</v>
      </c>
      <c r="K103" s="75">
        <f t="shared" si="9"/>
        <v>0</v>
      </c>
      <c r="L103" s="745"/>
      <c r="M103" s="747"/>
    </row>
    <row r="104" spans="1:13" ht="13.5" x14ac:dyDescent="0.25">
      <c r="A104" s="868">
        <f>'Org structure'!E98</f>
        <v>0</v>
      </c>
      <c r="B104" s="865"/>
      <c r="C104" s="746"/>
      <c r="D104" s="745"/>
      <c r="E104" s="745"/>
      <c r="F104" s="745"/>
      <c r="G104" s="745"/>
      <c r="H104" s="745"/>
      <c r="I104" s="745"/>
      <c r="J104" s="75">
        <f t="shared" si="8"/>
        <v>0</v>
      </c>
      <c r="K104" s="75">
        <f t="shared" si="9"/>
        <v>0</v>
      </c>
      <c r="L104" s="745"/>
      <c r="M104" s="747"/>
    </row>
    <row r="105" spans="1:13" ht="13.5" x14ac:dyDescent="0.25">
      <c r="A105" s="868">
        <f>'Org structure'!E99</f>
        <v>0</v>
      </c>
      <c r="B105" s="865"/>
      <c r="C105" s="746"/>
      <c r="D105" s="745"/>
      <c r="E105" s="745"/>
      <c r="F105" s="745"/>
      <c r="G105" s="745"/>
      <c r="H105" s="745"/>
      <c r="I105" s="745"/>
      <c r="J105" s="75">
        <f t="shared" si="8"/>
        <v>0</v>
      </c>
      <c r="K105" s="75">
        <f t="shared" si="9"/>
        <v>0</v>
      </c>
      <c r="L105" s="745"/>
      <c r="M105" s="747"/>
    </row>
    <row r="106" spans="1:13" ht="13.5" x14ac:dyDescent="0.25">
      <c r="A106" s="868">
        <f>'Org structure'!E100</f>
        <v>0</v>
      </c>
      <c r="B106" s="865"/>
      <c r="C106" s="746"/>
      <c r="D106" s="745"/>
      <c r="E106" s="745"/>
      <c r="F106" s="745"/>
      <c r="G106" s="745"/>
      <c r="H106" s="745"/>
      <c r="I106" s="745"/>
      <c r="J106" s="75">
        <f t="shared" si="8"/>
        <v>0</v>
      </c>
      <c r="K106" s="75">
        <f t="shared" si="9"/>
        <v>0</v>
      </c>
      <c r="L106" s="745"/>
      <c r="M106" s="747"/>
    </row>
    <row r="107" spans="1:13" ht="13.5" x14ac:dyDescent="0.25">
      <c r="A107" s="866" t="str">
        <f>'Org structure'!A11</f>
        <v>Vote 10 - [NAME OF VOTE 10]</v>
      </c>
      <c r="B107" s="865"/>
      <c r="C107" s="744">
        <f>SUM(C108:C117)</f>
        <v>0</v>
      </c>
      <c r="D107" s="743">
        <f t="shared" ref="D107:I107" si="13">SUM(D108:D117)</f>
        <v>0</v>
      </c>
      <c r="E107" s="743">
        <f t="shared" si="13"/>
        <v>0</v>
      </c>
      <c r="F107" s="743">
        <f t="shared" si="13"/>
        <v>0</v>
      </c>
      <c r="G107" s="743">
        <f t="shared" si="13"/>
        <v>0</v>
      </c>
      <c r="H107" s="743">
        <f t="shared" si="13"/>
        <v>0</v>
      </c>
      <c r="I107" s="743">
        <f t="shared" si="13"/>
        <v>0</v>
      </c>
      <c r="J107" s="75">
        <f t="shared" si="8"/>
        <v>0</v>
      </c>
      <c r="K107" s="75">
        <f t="shared" si="9"/>
        <v>0</v>
      </c>
      <c r="L107" s="743">
        <f>SUM(L108:L117)</f>
        <v>0</v>
      </c>
      <c r="M107" s="771">
        <f>SUM(M108:M117)</f>
        <v>0</v>
      </c>
    </row>
    <row r="108" spans="1:13" ht="13.5" x14ac:dyDescent="0.25">
      <c r="A108" s="868" t="str">
        <f>'Org structure'!E102</f>
        <v>10.1 - [Name of sub-vote]</v>
      </c>
      <c r="B108" s="865"/>
      <c r="C108" s="746"/>
      <c r="D108" s="745"/>
      <c r="E108" s="745"/>
      <c r="F108" s="745"/>
      <c r="G108" s="745"/>
      <c r="H108" s="745"/>
      <c r="I108" s="745"/>
      <c r="J108" s="75">
        <f t="shared" si="8"/>
        <v>0</v>
      </c>
      <c r="K108" s="75">
        <f t="shared" si="9"/>
        <v>0</v>
      </c>
      <c r="L108" s="745"/>
      <c r="M108" s="747"/>
    </row>
    <row r="109" spans="1:13" ht="13.5" x14ac:dyDescent="0.25">
      <c r="A109" s="868">
        <f>'Org structure'!E103</f>
        <v>0</v>
      </c>
      <c r="B109" s="865"/>
      <c r="C109" s="746"/>
      <c r="D109" s="745"/>
      <c r="E109" s="745"/>
      <c r="F109" s="745"/>
      <c r="G109" s="745"/>
      <c r="H109" s="745"/>
      <c r="I109" s="745"/>
      <c r="J109" s="75">
        <f t="shared" si="8"/>
        <v>0</v>
      </c>
      <c r="K109" s="75">
        <f t="shared" si="9"/>
        <v>0</v>
      </c>
      <c r="L109" s="745"/>
      <c r="M109" s="747"/>
    </row>
    <row r="110" spans="1:13" ht="13.5" x14ac:dyDescent="0.25">
      <c r="A110" s="868">
        <f>'Org structure'!E104</f>
        <v>0</v>
      </c>
      <c r="B110" s="865"/>
      <c r="C110" s="746"/>
      <c r="D110" s="745"/>
      <c r="E110" s="745"/>
      <c r="F110" s="745"/>
      <c r="G110" s="745"/>
      <c r="H110" s="745"/>
      <c r="I110" s="745"/>
      <c r="J110" s="75">
        <f t="shared" si="8"/>
        <v>0</v>
      </c>
      <c r="K110" s="75">
        <f t="shared" si="9"/>
        <v>0</v>
      </c>
      <c r="L110" s="745"/>
      <c r="M110" s="747"/>
    </row>
    <row r="111" spans="1:13" ht="13.5" x14ac:dyDescent="0.25">
      <c r="A111" s="868">
        <f>'Org structure'!E105</f>
        <v>0</v>
      </c>
      <c r="B111" s="865"/>
      <c r="C111" s="746"/>
      <c r="D111" s="745"/>
      <c r="E111" s="745"/>
      <c r="F111" s="745"/>
      <c r="G111" s="745"/>
      <c r="H111" s="745"/>
      <c r="I111" s="745"/>
      <c r="J111" s="75">
        <f t="shared" si="8"/>
        <v>0</v>
      </c>
      <c r="K111" s="75">
        <f t="shared" si="9"/>
        <v>0</v>
      </c>
      <c r="L111" s="745"/>
      <c r="M111" s="747"/>
    </row>
    <row r="112" spans="1:13" ht="13.5" x14ac:dyDescent="0.25">
      <c r="A112" s="868">
        <f>'Org structure'!E106</f>
        <v>0</v>
      </c>
      <c r="B112" s="865"/>
      <c r="C112" s="746"/>
      <c r="D112" s="745"/>
      <c r="E112" s="745"/>
      <c r="F112" s="745"/>
      <c r="G112" s="745"/>
      <c r="H112" s="745"/>
      <c r="I112" s="745"/>
      <c r="J112" s="75">
        <f t="shared" si="8"/>
        <v>0</v>
      </c>
      <c r="K112" s="75">
        <f t="shared" si="9"/>
        <v>0</v>
      </c>
      <c r="L112" s="745"/>
      <c r="M112" s="747"/>
    </row>
    <row r="113" spans="1:13" ht="13.5" x14ac:dyDescent="0.25">
      <c r="A113" s="868">
        <f>'Org structure'!E107</f>
        <v>0</v>
      </c>
      <c r="B113" s="865"/>
      <c r="C113" s="746"/>
      <c r="D113" s="745"/>
      <c r="E113" s="745"/>
      <c r="F113" s="745"/>
      <c r="G113" s="745"/>
      <c r="H113" s="745"/>
      <c r="I113" s="745"/>
      <c r="J113" s="75">
        <f t="shared" si="8"/>
        <v>0</v>
      </c>
      <c r="K113" s="75">
        <f t="shared" si="9"/>
        <v>0</v>
      </c>
      <c r="L113" s="745"/>
      <c r="M113" s="747"/>
    </row>
    <row r="114" spans="1:13" ht="13.5" x14ac:dyDescent="0.25">
      <c r="A114" s="868">
        <f>'Org structure'!E108</f>
        <v>0</v>
      </c>
      <c r="B114" s="865"/>
      <c r="C114" s="746"/>
      <c r="D114" s="745"/>
      <c r="E114" s="745"/>
      <c r="F114" s="745"/>
      <c r="G114" s="745"/>
      <c r="H114" s="745"/>
      <c r="I114" s="745"/>
      <c r="J114" s="75">
        <f t="shared" si="8"/>
        <v>0</v>
      </c>
      <c r="K114" s="75">
        <f t="shared" si="9"/>
        <v>0</v>
      </c>
      <c r="L114" s="745"/>
      <c r="M114" s="747"/>
    </row>
    <row r="115" spans="1:13" ht="13.5" x14ac:dyDescent="0.25">
      <c r="A115" s="868">
        <f>'Org structure'!E109</f>
        <v>0</v>
      </c>
      <c r="B115" s="865"/>
      <c r="C115" s="746"/>
      <c r="D115" s="745"/>
      <c r="E115" s="745"/>
      <c r="F115" s="745"/>
      <c r="G115" s="745"/>
      <c r="H115" s="745"/>
      <c r="I115" s="745"/>
      <c r="J115" s="75">
        <f t="shared" si="8"/>
        <v>0</v>
      </c>
      <c r="K115" s="75">
        <f t="shared" si="9"/>
        <v>0</v>
      </c>
      <c r="L115" s="745"/>
      <c r="M115" s="747"/>
    </row>
    <row r="116" spans="1:13" ht="13.5" x14ac:dyDescent="0.25">
      <c r="A116" s="868">
        <f>'Org structure'!E110</f>
        <v>0</v>
      </c>
      <c r="B116" s="865"/>
      <c r="C116" s="746"/>
      <c r="D116" s="745"/>
      <c r="E116" s="745"/>
      <c r="F116" s="745"/>
      <c r="G116" s="745"/>
      <c r="H116" s="745"/>
      <c r="I116" s="745"/>
      <c r="J116" s="75">
        <f t="shared" si="8"/>
        <v>0</v>
      </c>
      <c r="K116" s="75">
        <f t="shared" si="9"/>
        <v>0</v>
      </c>
      <c r="L116" s="745"/>
      <c r="M116" s="747"/>
    </row>
    <row r="117" spans="1:13" ht="13.5" x14ac:dyDescent="0.25">
      <c r="A117" s="868">
        <f>'Org structure'!E111</f>
        <v>0</v>
      </c>
      <c r="B117" s="865"/>
      <c r="C117" s="746"/>
      <c r="D117" s="745"/>
      <c r="E117" s="745"/>
      <c r="F117" s="745"/>
      <c r="G117" s="745"/>
      <c r="H117" s="745"/>
      <c r="I117" s="745"/>
      <c r="J117" s="75">
        <f t="shared" si="8"/>
        <v>0</v>
      </c>
      <c r="K117" s="75">
        <f t="shared" si="9"/>
        <v>0</v>
      </c>
      <c r="L117" s="745"/>
      <c r="M117" s="747"/>
    </row>
    <row r="118" spans="1:13" ht="13.5" x14ac:dyDescent="0.25">
      <c r="A118" s="866" t="str">
        <f>'Org structure'!A12</f>
        <v>Vote 11 - [NAME OF VOTE 11]</v>
      </c>
      <c r="B118" s="865"/>
      <c r="C118" s="744">
        <f>SUM(C119:C128)</f>
        <v>0</v>
      </c>
      <c r="D118" s="743">
        <f t="shared" ref="D118:I118" si="14">SUM(D119:D128)</f>
        <v>0</v>
      </c>
      <c r="E118" s="743">
        <f t="shared" si="14"/>
        <v>0</v>
      </c>
      <c r="F118" s="743">
        <f t="shared" si="14"/>
        <v>0</v>
      </c>
      <c r="G118" s="743">
        <f t="shared" si="14"/>
        <v>0</v>
      </c>
      <c r="H118" s="743">
        <f t="shared" si="14"/>
        <v>0</v>
      </c>
      <c r="I118" s="743">
        <f t="shared" si="14"/>
        <v>0</v>
      </c>
      <c r="J118" s="75">
        <f t="shared" si="8"/>
        <v>0</v>
      </c>
      <c r="K118" s="75">
        <f t="shared" si="9"/>
        <v>0</v>
      </c>
      <c r="L118" s="743">
        <f>SUM(L119:L128)</f>
        <v>0</v>
      </c>
      <c r="M118" s="771">
        <f>SUM(M119:M128)</f>
        <v>0</v>
      </c>
    </row>
    <row r="119" spans="1:13" ht="13.5" x14ac:dyDescent="0.25">
      <c r="A119" s="868" t="str">
        <f>'Org structure'!E113</f>
        <v>11.1 - [Name of sub-vote]</v>
      </c>
      <c r="B119" s="865"/>
      <c r="C119" s="746"/>
      <c r="D119" s="745"/>
      <c r="E119" s="745"/>
      <c r="F119" s="745"/>
      <c r="G119" s="745"/>
      <c r="H119" s="745"/>
      <c r="I119" s="745"/>
      <c r="J119" s="75">
        <f t="shared" si="8"/>
        <v>0</v>
      </c>
      <c r="K119" s="75">
        <f t="shared" si="9"/>
        <v>0</v>
      </c>
      <c r="L119" s="745"/>
      <c r="M119" s="747"/>
    </row>
    <row r="120" spans="1:13" ht="13.5" x14ac:dyDescent="0.25">
      <c r="A120" s="868">
        <f>'Org structure'!E114</f>
        <v>0</v>
      </c>
      <c r="B120" s="865"/>
      <c r="C120" s="746"/>
      <c r="D120" s="745"/>
      <c r="E120" s="745"/>
      <c r="F120" s="745"/>
      <c r="G120" s="745"/>
      <c r="H120" s="745"/>
      <c r="I120" s="745"/>
      <c r="J120" s="75">
        <f t="shared" si="8"/>
        <v>0</v>
      </c>
      <c r="K120" s="75">
        <f t="shared" si="9"/>
        <v>0</v>
      </c>
      <c r="L120" s="745"/>
      <c r="M120" s="747"/>
    </row>
    <row r="121" spans="1:13" ht="13.5" x14ac:dyDescent="0.25">
      <c r="A121" s="868">
        <f>'Org structure'!E115</f>
        <v>0</v>
      </c>
      <c r="B121" s="865"/>
      <c r="C121" s="746"/>
      <c r="D121" s="745"/>
      <c r="E121" s="745"/>
      <c r="F121" s="745"/>
      <c r="G121" s="745"/>
      <c r="H121" s="745"/>
      <c r="I121" s="745"/>
      <c r="J121" s="75">
        <f t="shared" si="8"/>
        <v>0</v>
      </c>
      <c r="K121" s="75">
        <f t="shared" si="9"/>
        <v>0</v>
      </c>
      <c r="L121" s="745"/>
      <c r="M121" s="747"/>
    </row>
    <row r="122" spans="1:13" ht="13.5" x14ac:dyDescent="0.25">
      <c r="A122" s="868">
        <f>'Org structure'!E116</f>
        <v>0</v>
      </c>
      <c r="B122" s="865"/>
      <c r="C122" s="746"/>
      <c r="D122" s="745"/>
      <c r="E122" s="745"/>
      <c r="F122" s="745"/>
      <c r="G122" s="745"/>
      <c r="H122" s="745"/>
      <c r="I122" s="745"/>
      <c r="J122" s="75">
        <f t="shared" si="8"/>
        <v>0</v>
      </c>
      <c r="K122" s="75">
        <f t="shared" si="9"/>
        <v>0</v>
      </c>
      <c r="L122" s="745"/>
      <c r="M122" s="747"/>
    </row>
    <row r="123" spans="1:13" ht="13.5" x14ac:dyDescent="0.25">
      <c r="A123" s="868">
        <f>'Org structure'!E117</f>
        <v>0</v>
      </c>
      <c r="B123" s="865"/>
      <c r="C123" s="746"/>
      <c r="D123" s="745"/>
      <c r="E123" s="745"/>
      <c r="F123" s="745"/>
      <c r="G123" s="745"/>
      <c r="H123" s="745"/>
      <c r="I123" s="745"/>
      <c r="J123" s="75">
        <f t="shared" si="8"/>
        <v>0</v>
      </c>
      <c r="K123" s="75">
        <f t="shared" si="9"/>
        <v>0</v>
      </c>
      <c r="L123" s="745"/>
      <c r="M123" s="747"/>
    </row>
    <row r="124" spans="1:13" ht="13.5" x14ac:dyDescent="0.25">
      <c r="A124" s="868">
        <f>'Org structure'!E118</f>
        <v>0</v>
      </c>
      <c r="B124" s="865"/>
      <c r="C124" s="746"/>
      <c r="D124" s="745"/>
      <c r="E124" s="745"/>
      <c r="F124" s="745"/>
      <c r="G124" s="745"/>
      <c r="H124" s="745"/>
      <c r="I124" s="745"/>
      <c r="J124" s="75">
        <f t="shared" si="8"/>
        <v>0</v>
      </c>
      <c r="K124" s="75">
        <f t="shared" si="9"/>
        <v>0</v>
      </c>
      <c r="L124" s="745"/>
      <c r="M124" s="747"/>
    </row>
    <row r="125" spans="1:13" ht="13.5" x14ac:dyDescent="0.25">
      <c r="A125" s="868">
        <f>'Org structure'!E119</f>
        <v>0</v>
      </c>
      <c r="B125" s="865"/>
      <c r="C125" s="746"/>
      <c r="D125" s="745"/>
      <c r="E125" s="745"/>
      <c r="F125" s="745"/>
      <c r="G125" s="745"/>
      <c r="H125" s="745"/>
      <c r="I125" s="745"/>
      <c r="J125" s="75">
        <f t="shared" si="8"/>
        <v>0</v>
      </c>
      <c r="K125" s="75">
        <f t="shared" si="9"/>
        <v>0</v>
      </c>
      <c r="L125" s="745"/>
      <c r="M125" s="747"/>
    </row>
    <row r="126" spans="1:13" ht="13.5" x14ac:dyDescent="0.25">
      <c r="A126" s="868">
        <f>'Org structure'!E120</f>
        <v>0</v>
      </c>
      <c r="B126" s="865"/>
      <c r="C126" s="746"/>
      <c r="D126" s="745"/>
      <c r="E126" s="745"/>
      <c r="F126" s="745"/>
      <c r="G126" s="745"/>
      <c r="H126" s="745"/>
      <c r="I126" s="745"/>
      <c r="J126" s="75">
        <f t="shared" si="8"/>
        <v>0</v>
      </c>
      <c r="K126" s="75">
        <f t="shared" si="9"/>
        <v>0</v>
      </c>
      <c r="L126" s="745"/>
      <c r="M126" s="747"/>
    </row>
    <row r="127" spans="1:13" ht="13.5" x14ac:dyDescent="0.25">
      <c r="A127" s="868">
        <f>'Org structure'!E121</f>
        <v>0</v>
      </c>
      <c r="B127" s="865"/>
      <c r="C127" s="746"/>
      <c r="D127" s="745"/>
      <c r="E127" s="745"/>
      <c r="F127" s="745"/>
      <c r="G127" s="745"/>
      <c r="H127" s="745"/>
      <c r="I127" s="745"/>
      <c r="J127" s="75">
        <f t="shared" si="8"/>
        <v>0</v>
      </c>
      <c r="K127" s="75">
        <f t="shared" si="9"/>
        <v>0</v>
      </c>
      <c r="L127" s="745"/>
      <c r="M127" s="747"/>
    </row>
    <row r="128" spans="1:13" ht="13.5" x14ac:dyDescent="0.25">
      <c r="A128" s="868">
        <f>'Org structure'!E122</f>
        <v>0</v>
      </c>
      <c r="B128" s="865"/>
      <c r="C128" s="746"/>
      <c r="D128" s="745"/>
      <c r="E128" s="745"/>
      <c r="F128" s="745"/>
      <c r="G128" s="745"/>
      <c r="H128" s="745"/>
      <c r="I128" s="745"/>
      <c r="J128" s="75">
        <f t="shared" si="8"/>
        <v>0</v>
      </c>
      <c r="K128" s="75">
        <f t="shared" si="9"/>
        <v>0</v>
      </c>
      <c r="L128" s="745"/>
      <c r="M128" s="747"/>
    </row>
    <row r="129" spans="1:13" ht="13.5" x14ac:dyDescent="0.25">
      <c r="A129" s="866" t="str">
        <f>'Org structure'!A13</f>
        <v>Vote 12 - [NAME OF VOTE 12]</v>
      </c>
      <c r="B129" s="865"/>
      <c r="C129" s="744">
        <f>SUM(C130:C139)</f>
        <v>0</v>
      </c>
      <c r="D129" s="743">
        <f t="shared" ref="D129:I129" si="15">SUM(D130:D139)</f>
        <v>0</v>
      </c>
      <c r="E129" s="743">
        <f t="shared" si="15"/>
        <v>0</v>
      </c>
      <c r="F129" s="743">
        <f t="shared" si="15"/>
        <v>0</v>
      </c>
      <c r="G129" s="743">
        <f t="shared" si="15"/>
        <v>0</v>
      </c>
      <c r="H129" s="743">
        <f t="shared" si="15"/>
        <v>0</v>
      </c>
      <c r="I129" s="743">
        <f t="shared" si="15"/>
        <v>0</v>
      </c>
      <c r="J129" s="75">
        <f t="shared" si="8"/>
        <v>0</v>
      </c>
      <c r="K129" s="75">
        <f t="shared" si="9"/>
        <v>0</v>
      </c>
      <c r="L129" s="743">
        <f>SUM(L130:L139)</f>
        <v>0</v>
      </c>
      <c r="M129" s="771">
        <f>SUM(M130:M139)</f>
        <v>0</v>
      </c>
    </row>
    <row r="130" spans="1:13" ht="13.5" x14ac:dyDescent="0.25">
      <c r="A130" s="868" t="str">
        <f>'Org structure'!E124</f>
        <v>12.1 - [Name of sub-vote]</v>
      </c>
      <c r="B130" s="865"/>
      <c r="C130" s="746"/>
      <c r="D130" s="745"/>
      <c r="E130" s="745"/>
      <c r="F130" s="745"/>
      <c r="G130" s="745"/>
      <c r="H130" s="745"/>
      <c r="I130" s="745"/>
      <c r="J130" s="75">
        <f t="shared" si="8"/>
        <v>0</v>
      </c>
      <c r="K130" s="75">
        <f t="shared" si="9"/>
        <v>0</v>
      </c>
      <c r="L130" s="745"/>
      <c r="M130" s="747"/>
    </row>
    <row r="131" spans="1:13" ht="13.5" x14ac:dyDescent="0.25">
      <c r="A131" s="868">
        <f>'Org structure'!E125</f>
        <v>0</v>
      </c>
      <c r="B131" s="865"/>
      <c r="C131" s="746"/>
      <c r="D131" s="745"/>
      <c r="E131" s="745"/>
      <c r="F131" s="745"/>
      <c r="G131" s="745"/>
      <c r="H131" s="745"/>
      <c r="I131" s="745"/>
      <c r="J131" s="75">
        <f t="shared" si="8"/>
        <v>0</v>
      </c>
      <c r="K131" s="75">
        <f t="shared" si="9"/>
        <v>0</v>
      </c>
      <c r="L131" s="745"/>
      <c r="M131" s="747"/>
    </row>
    <row r="132" spans="1:13" ht="13.5" x14ac:dyDescent="0.25">
      <c r="A132" s="868">
        <f>'Org structure'!E126</f>
        <v>0</v>
      </c>
      <c r="B132" s="865"/>
      <c r="C132" s="746"/>
      <c r="D132" s="745"/>
      <c r="E132" s="745"/>
      <c r="F132" s="745"/>
      <c r="G132" s="745"/>
      <c r="H132" s="745"/>
      <c r="I132" s="745"/>
      <c r="J132" s="75">
        <f t="shared" si="8"/>
        <v>0</v>
      </c>
      <c r="K132" s="75">
        <f t="shared" si="9"/>
        <v>0</v>
      </c>
      <c r="L132" s="745"/>
      <c r="M132" s="747"/>
    </row>
    <row r="133" spans="1:13" ht="13.5" x14ac:dyDescent="0.25">
      <c r="A133" s="868">
        <f>'Org structure'!E127</f>
        <v>0</v>
      </c>
      <c r="B133" s="865"/>
      <c r="C133" s="746"/>
      <c r="D133" s="745"/>
      <c r="E133" s="745"/>
      <c r="F133" s="745"/>
      <c r="G133" s="745"/>
      <c r="H133" s="745"/>
      <c r="I133" s="745"/>
      <c r="J133" s="75">
        <f t="shared" si="8"/>
        <v>0</v>
      </c>
      <c r="K133" s="75">
        <f t="shared" si="9"/>
        <v>0</v>
      </c>
      <c r="L133" s="745"/>
      <c r="M133" s="747"/>
    </row>
    <row r="134" spans="1:13" ht="13.5" x14ac:dyDescent="0.25">
      <c r="A134" s="868">
        <f>'Org structure'!E128</f>
        <v>0</v>
      </c>
      <c r="B134" s="865"/>
      <c r="C134" s="746"/>
      <c r="D134" s="745"/>
      <c r="E134" s="745"/>
      <c r="F134" s="745"/>
      <c r="G134" s="745"/>
      <c r="H134" s="745"/>
      <c r="I134" s="745"/>
      <c r="J134" s="75">
        <f t="shared" si="8"/>
        <v>0</v>
      </c>
      <c r="K134" s="75">
        <f t="shared" si="9"/>
        <v>0</v>
      </c>
      <c r="L134" s="745"/>
      <c r="M134" s="747"/>
    </row>
    <row r="135" spans="1:13" ht="13.5" x14ac:dyDescent="0.25">
      <c r="A135" s="868">
        <f>'Org structure'!E129</f>
        <v>0</v>
      </c>
      <c r="B135" s="865"/>
      <c r="C135" s="746"/>
      <c r="D135" s="745"/>
      <c r="E135" s="745"/>
      <c r="F135" s="745"/>
      <c r="G135" s="745"/>
      <c r="H135" s="745"/>
      <c r="I135" s="745"/>
      <c r="J135" s="75">
        <f t="shared" si="8"/>
        <v>0</v>
      </c>
      <c r="K135" s="75">
        <f t="shared" si="9"/>
        <v>0</v>
      </c>
      <c r="L135" s="745"/>
      <c r="M135" s="747"/>
    </row>
    <row r="136" spans="1:13" ht="13.5" x14ac:dyDescent="0.25">
      <c r="A136" s="868">
        <f>'Org structure'!E130</f>
        <v>0</v>
      </c>
      <c r="B136" s="865"/>
      <c r="C136" s="746"/>
      <c r="D136" s="745"/>
      <c r="E136" s="745"/>
      <c r="F136" s="745"/>
      <c r="G136" s="745"/>
      <c r="H136" s="745"/>
      <c r="I136" s="745"/>
      <c r="J136" s="75">
        <f t="shared" ref="J136:J173" si="16">SUM(E136:I136)</f>
        <v>0</v>
      </c>
      <c r="K136" s="75">
        <f t="shared" ref="K136:K173" si="17">IF(D136=0,C136+J136,D136+J136)</f>
        <v>0</v>
      </c>
      <c r="L136" s="745"/>
      <c r="M136" s="747"/>
    </row>
    <row r="137" spans="1:13" ht="13.5" x14ac:dyDescent="0.25">
      <c r="A137" s="868">
        <f>'Org structure'!E131</f>
        <v>0</v>
      </c>
      <c r="B137" s="865"/>
      <c r="C137" s="746"/>
      <c r="D137" s="745"/>
      <c r="E137" s="745"/>
      <c r="F137" s="745"/>
      <c r="G137" s="745"/>
      <c r="H137" s="745"/>
      <c r="I137" s="745"/>
      <c r="J137" s="75">
        <f t="shared" si="16"/>
        <v>0</v>
      </c>
      <c r="K137" s="75">
        <f t="shared" si="17"/>
        <v>0</v>
      </c>
      <c r="L137" s="745"/>
      <c r="M137" s="747"/>
    </row>
    <row r="138" spans="1:13" ht="13.5" x14ac:dyDescent="0.25">
      <c r="A138" s="868">
        <f>'Org structure'!E132</f>
        <v>0</v>
      </c>
      <c r="B138" s="865"/>
      <c r="C138" s="746"/>
      <c r="D138" s="745"/>
      <c r="E138" s="745"/>
      <c r="F138" s="745"/>
      <c r="G138" s="745"/>
      <c r="H138" s="745"/>
      <c r="I138" s="745"/>
      <c r="J138" s="75">
        <f t="shared" si="16"/>
        <v>0</v>
      </c>
      <c r="K138" s="75">
        <f t="shared" si="17"/>
        <v>0</v>
      </c>
      <c r="L138" s="745"/>
      <c r="M138" s="747"/>
    </row>
    <row r="139" spans="1:13" ht="13.5" x14ac:dyDescent="0.25">
      <c r="A139" s="868">
        <f>'Org structure'!E133</f>
        <v>0</v>
      </c>
      <c r="B139" s="865"/>
      <c r="C139" s="746"/>
      <c r="D139" s="745"/>
      <c r="E139" s="745"/>
      <c r="F139" s="745"/>
      <c r="G139" s="745"/>
      <c r="H139" s="745"/>
      <c r="I139" s="745"/>
      <c r="J139" s="75">
        <f t="shared" si="16"/>
        <v>0</v>
      </c>
      <c r="K139" s="75">
        <f t="shared" si="17"/>
        <v>0</v>
      </c>
      <c r="L139" s="745"/>
      <c r="M139" s="747"/>
    </row>
    <row r="140" spans="1:13" ht="13.5" x14ac:dyDescent="0.25">
      <c r="A140" s="866" t="str">
        <f>'Org structure'!A14</f>
        <v>Vote 13 - [NAME OF VOTE 13]</v>
      </c>
      <c r="B140" s="865"/>
      <c r="C140" s="744">
        <f>SUM(C141:C150)</f>
        <v>0</v>
      </c>
      <c r="D140" s="743">
        <f t="shared" ref="D140:I140" si="18">SUM(D141:D150)</f>
        <v>0</v>
      </c>
      <c r="E140" s="743">
        <f t="shared" si="18"/>
        <v>0</v>
      </c>
      <c r="F140" s="743">
        <f t="shared" si="18"/>
        <v>0</v>
      </c>
      <c r="G140" s="743">
        <f t="shared" si="18"/>
        <v>0</v>
      </c>
      <c r="H140" s="743">
        <f t="shared" si="18"/>
        <v>0</v>
      </c>
      <c r="I140" s="743">
        <f t="shared" si="18"/>
        <v>0</v>
      </c>
      <c r="J140" s="75">
        <f t="shared" si="16"/>
        <v>0</v>
      </c>
      <c r="K140" s="75">
        <f t="shared" si="17"/>
        <v>0</v>
      </c>
      <c r="L140" s="743">
        <f>SUM(L141:L150)</f>
        <v>0</v>
      </c>
      <c r="M140" s="771">
        <f>SUM(M141:M150)</f>
        <v>0</v>
      </c>
    </row>
    <row r="141" spans="1:13" ht="13.5" x14ac:dyDescent="0.25">
      <c r="A141" s="868" t="str">
        <f>'Org structure'!E135</f>
        <v>13.1 - [Name of sub-vote]</v>
      </c>
      <c r="B141" s="865"/>
      <c r="C141" s="746"/>
      <c r="D141" s="745"/>
      <c r="E141" s="745"/>
      <c r="F141" s="745"/>
      <c r="G141" s="745"/>
      <c r="H141" s="745"/>
      <c r="I141" s="745"/>
      <c r="J141" s="75">
        <f t="shared" si="16"/>
        <v>0</v>
      </c>
      <c r="K141" s="75">
        <f t="shared" si="17"/>
        <v>0</v>
      </c>
      <c r="L141" s="745"/>
      <c r="M141" s="747"/>
    </row>
    <row r="142" spans="1:13" ht="13.5" x14ac:dyDescent="0.25">
      <c r="A142" s="868">
        <f>'Org structure'!E136</f>
        <v>0</v>
      </c>
      <c r="B142" s="865"/>
      <c r="C142" s="746"/>
      <c r="D142" s="745"/>
      <c r="E142" s="745"/>
      <c r="F142" s="745"/>
      <c r="G142" s="745"/>
      <c r="H142" s="745"/>
      <c r="I142" s="745"/>
      <c r="J142" s="75">
        <f t="shared" si="16"/>
        <v>0</v>
      </c>
      <c r="K142" s="75">
        <f t="shared" si="17"/>
        <v>0</v>
      </c>
      <c r="L142" s="745"/>
      <c r="M142" s="747"/>
    </row>
    <row r="143" spans="1:13" ht="13.5" x14ac:dyDescent="0.25">
      <c r="A143" s="868">
        <f>'Org structure'!E137</f>
        <v>0</v>
      </c>
      <c r="B143" s="865"/>
      <c r="C143" s="746"/>
      <c r="D143" s="745"/>
      <c r="E143" s="745"/>
      <c r="F143" s="745"/>
      <c r="G143" s="745"/>
      <c r="H143" s="745"/>
      <c r="I143" s="745"/>
      <c r="J143" s="75">
        <f t="shared" si="16"/>
        <v>0</v>
      </c>
      <c r="K143" s="75">
        <f t="shared" si="17"/>
        <v>0</v>
      </c>
      <c r="L143" s="745"/>
      <c r="M143" s="747"/>
    </row>
    <row r="144" spans="1:13" ht="13.5" x14ac:dyDescent="0.25">
      <c r="A144" s="868">
        <f>'Org structure'!E138</f>
        <v>0</v>
      </c>
      <c r="B144" s="865"/>
      <c r="C144" s="746"/>
      <c r="D144" s="745"/>
      <c r="E144" s="745"/>
      <c r="F144" s="745"/>
      <c r="G144" s="745"/>
      <c r="H144" s="745"/>
      <c r="I144" s="745"/>
      <c r="J144" s="75">
        <f t="shared" si="16"/>
        <v>0</v>
      </c>
      <c r="K144" s="75">
        <f t="shared" si="17"/>
        <v>0</v>
      </c>
      <c r="L144" s="745"/>
      <c r="M144" s="747"/>
    </row>
    <row r="145" spans="1:13" ht="13.5" x14ac:dyDescent="0.25">
      <c r="A145" s="868">
        <f>'Org structure'!E139</f>
        <v>0</v>
      </c>
      <c r="B145" s="865"/>
      <c r="C145" s="746"/>
      <c r="D145" s="745"/>
      <c r="E145" s="745"/>
      <c r="F145" s="745"/>
      <c r="G145" s="745"/>
      <c r="H145" s="745"/>
      <c r="I145" s="745"/>
      <c r="J145" s="75">
        <f t="shared" si="16"/>
        <v>0</v>
      </c>
      <c r="K145" s="75">
        <f t="shared" si="17"/>
        <v>0</v>
      </c>
      <c r="L145" s="745"/>
      <c r="M145" s="747"/>
    </row>
    <row r="146" spans="1:13" ht="13.5" x14ac:dyDescent="0.25">
      <c r="A146" s="868">
        <f>'Org structure'!E140</f>
        <v>0</v>
      </c>
      <c r="B146" s="865"/>
      <c r="C146" s="746"/>
      <c r="D146" s="745"/>
      <c r="E146" s="745"/>
      <c r="F146" s="745"/>
      <c r="G146" s="745"/>
      <c r="H146" s="745"/>
      <c r="I146" s="745"/>
      <c r="J146" s="75">
        <f t="shared" si="16"/>
        <v>0</v>
      </c>
      <c r="K146" s="75">
        <f t="shared" si="17"/>
        <v>0</v>
      </c>
      <c r="L146" s="745"/>
      <c r="M146" s="747"/>
    </row>
    <row r="147" spans="1:13" ht="13.5" x14ac:dyDescent="0.25">
      <c r="A147" s="868">
        <f>'Org structure'!E141</f>
        <v>0</v>
      </c>
      <c r="B147" s="865"/>
      <c r="C147" s="746"/>
      <c r="D147" s="745"/>
      <c r="E147" s="745"/>
      <c r="F147" s="745"/>
      <c r="G147" s="745"/>
      <c r="H147" s="745"/>
      <c r="I147" s="745"/>
      <c r="J147" s="75">
        <f t="shared" si="16"/>
        <v>0</v>
      </c>
      <c r="K147" s="75">
        <f t="shared" si="17"/>
        <v>0</v>
      </c>
      <c r="L147" s="745"/>
      <c r="M147" s="747"/>
    </row>
    <row r="148" spans="1:13" ht="13.5" x14ac:dyDescent="0.25">
      <c r="A148" s="868">
        <f>'Org structure'!E142</f>
        <v>0</v>
      </c>
      <c r="B148" s="865"/>
      <c r="C148" s="746"/>
      <c r="D148" s="745"/>
      <c r="E148" s="745"/>
      <c r="F148" s="745"/>
      <c r="G148" s="745"/>
      <c r="H148" s="745"/>
      <c r="I148" s="745"/>
      <c r="J148" s="75">
        <f t="shared" si="16"/>
        <v>0</v>
      </c>
      <c r="K148" s="75">
        <f t="shared" si="17"/>
        <v>0</v>
      </c>
      <c r="L148" s="745"/>
      <c r="M148" s="747"/>
    </row>
    <row r="149" spans="1:13" ht="13.5" x14ac:dyDescent="0.25">
      <c r="A149" s="868">
        <f>'Org structure'!E143</f>
        <v>0</v>
      </c>
      <c r="B149" s="865"/>
      <c r="C149" s="746"/>
      <c r="D149" s="745"/>
      <c r="E149" s="745"/>
      <c r="F149" s="745"/>
      <c r="G149" s="745"/>
      <c r="H149" s="745"/>
      <c r="I149" s="745"/>
      <c r="J149" s="75">
        <f t="shared" si="16"/>
        <v>0</v>
      </c>
      <c r="K149" s="75">
        <f t="shared" si="17"/>
        <v>0</v>
      </c>
      <c r="L149" s="745"/>
      <c r="M149" s="747"/>
    </row>
    <row r="150" spans="1:13" ht="13.5" x14ac:dyDescent="0.25">
      <c r="A150" s="868">
        <f>'Org structure'!E144</f>
        <v>0</v>
      </c>
      <c r="B150" s="865"/>
      <c r="C150" s="746"/>
      <c r="D150" s="745"/>
      <c r="E150" s="745"/>
      <c r="F150" s="745"/>
      <c r="G150" s="745"/>
      <c r="H150" s="745"/>
      <c r="I150" s="745"/>
      <c r="J150" s="75">
        <f t="shared" si="16"/>
        <v>0</v>
      </c>
      <c r="K150" s="75">
        <f t="shared" si="17"/>
        <v>0</v>
      </c>
      <c r="L150" s="745"/>
      <c r="M150" s="747"/>
    </row>
    <row r="151" spans="1:13" ht="13.5" x14ac:dyDescent="0.25">
      <c r="A151" s="866" t="str">
        <f>'Org structure'!A15</f>
        <v>Vote 14 - [NAME OF VOTE 14]</v>
      </c>
      <c r="B151" s="865"/>
      <c r="C151" s="744">
        <f>SUM(C152:C161)</f>
        <v>0</v>
      </c>
      <c r="D151" s="743">
        <f t="shared" ref="D151:I151" si="19">SUM(D152:D161)</f>
        <v>0</v>
      </c>
      <c r="E151" s="743">
        <f t="shared" si="19"/>
        <v>0</v>
      </c>
      <c r="F151" s="743">
        <f t="shared" si="19"/>
        <v>0</v>
      </c>
      <c r="G151" s="743">
        <f t="shared" si="19"/>
        <v>0</v>
      </c>
      <c r="H151" s="743">
        <f t="shared" si="19"/>
        <v>0</v>
      </c>
      <c r="I151" s="743">
        <f t="shared" si="19"/>
        <v>0</v>
      </c>
      <c r="J151" s="75">
        <f t="shared" si="16"/>
        <v>0</v>
      </c>
      <c r="K151" s="75">
        <f t="shared" si="17"/>
        <v>0</v>
      </c>
      <c r="L151" s="743">
        <f>SUM(L152:L161)</f>
        <v>0</v>
      </c>
      <c r="M151" s="771">
        <f>SUM(M152:M161)</f>
        <v>0</v>
      </c>
    </row>
    <row r="152" spans="1:13" ht="13.5" x14ac:dyDescent="0.25">
      <c r="A152" s="868" t="str">
        <f>'Org structure'!E146</f>
        <v>14.1 - [Name of sub-vote]</v>
      </c>
      <c r="B152" s="865"/>
      <c r="C152" s="746"/>
      <c r="D152" s="745"/>
      <c r="E152" s="745"/>
      <c r="F152" s="745"/>
      <c r="G152" s="745"/>
      <c r="H152" s="745"/>
      <c r="I152" s="745"/>
      <c r="J152" s="75">
        <f t="shared" si="16"/>
        <v>0</v>
      </c>
      <c r="K152" s="75">
        <f t="shared" si="17"/>
        <v>0</v>
      </c>
      <c r="L152" s="745"/>
      <c r="M152" s="747"/>
    </row>
    <row r="153" spans="1:13" ht="13.5" x14ac:dyDescent="0.25">
      <c r="A153" s="868">
        <f>'Org structure'!E147</f>
        <v>0</v>
      </c>
      <c r="B153" s="865"/>
      <c r="C153" s="746"/>
      <c r="D153" s="745"/>
      <c r="E153" s="745"/>
      <c r="F153" s="745"/>
      <c r="G153" s="745"/>
      <c r="H153" s="745"/>
      <c r="I153" s="745"/>
      <c r="J153" s="75">
        <f t="shared" si="16"/>
        <v>0</v>
      </c>
      <c r="K153" s="75">
        <f t="shared" si="17"/>
        <v>0</v>
      </c>
      <c r="L153" s="745"/>
      <c r="M153" s="747"/>
    </row>
    <row r="154" spans="1:13" ht="13.5" x14ac:dyDescent="0.25">
      <c r="A154" s="868">
        <f>'Org structure'!E148</f>
        <v>0</v>
      </c>
      <c r="B154" s="865"/>
      <c r="C154" s="746"/>
      <c r="D154" s="745"/>
      <c r="E154" s="745"/>
      <c r="F154" s="745"/>
      <c r="G154" s="745"/>
      <c r="H154" s="745"/>
      <c r="I154" s="745"/>
      <c r="J154" s="75">
        <f t="shared" si="16"/>
        <v>0</v>
      </c>
      <c r="K154" s="75">
        <f t="shared" si="17"/>
        <v>0</v>
      </c>
      <c r="L154" s="745"/>
      <c r="M154" s="747"/>
    </row>
    <row r="155" spans="1:13" ht="13.5" x14ac:dyDescent="0.25">
      <c r="A155" s="868">
        <f>'Org structure'!E149</f>
        <v>0</v>
      </c>
      <c r="B155" s="865"/>
      <c r="C155" s="746"/>
      <c r="D155" s="745"/>
      <c r="E155" s="745"/>
      <c r="F155" s="745"/>
      <c r="G155" s="745"/>
      <c r="H155" s="745"/>
      <c r="I155" s="745"/>
      <c r="J155" s="75">
        <f t="shared" si="16"/>
        <v>0</v>
      </c>
      <c r="K155" s="75">
        <f t="shared" si="17"/>
        <v>0</v>
      </c>
      <c r="L155" s="745"/>
      <c r="M155" s="747"/>
    </row>
    <row r="156" spans="1:13" ht="13.5" x14ac:dyDescent="0.25">
      <c r="A156" s="868">
        <f>'Org structure'!E150</f>
        <v>0</v>
      </c>
      <c r="B156" s="865"/>
      <c r="C156" s="746"/>
      <c r="D156" s="745"/>
      <c r="E156" s="745"/>
      <c r="F156" s="745"/>
      <c r="G156" s="745"/>
      <c r="H156" s="745"/>
      <c r="I156" s="745"/>
      <c r="J156" s="75">
        <f t="shared" si="16"/>
        <v>0</v>
      </c>
      <c r="K156" s="75">
        <f t="shared" si="17"/>
        <v>0</v>
      </c>
      <c r="L156" s="745"/>
      <c r="M156" s="747"/>
    </row>
    <row r="157" spans="1:13" ht="13.5" x14ac:dyDescent="0.25">
      <c r="A157" s="868">
        <f>'Org structure'!E151</f>
        <v>0</v>
      </c>
      <c r="B157" s="865"/>
      <c r="C157" s="746"/>
      <c r="D157" s="745"/>
      <c r="E157" s="745"/>
      <c r="F157" s="745"/>
      <c r="G157" s="745"/>
      <c r="H157" s="745"/>
      <c r="I157" s="745"/>
      <c r="J157" s="75">
        <f t="shared" si="16"/>
        <v>0</v>
      </c>
      <c r="K157" s="75">
        <f t="shared" si="17"/>
        <v>0</v>
      </c>
      <c r="L157" s="745"/>
      <c r="M157" s="747"/>
    </row>
    <row r="158" spans="1:13" ht="13.5" x14ac:dyDescent="0.25">
      <c r="A158" s="868">
        <f>'Org structure'!E152</f>
        <v>0</v>
      </c>
      <c r="B158" s="865"/>
      <c r="C158" s="746"/>
      <c r="D158" s="745"/>
      <c r="E158" s="745"/>
      <c r="F158" s="745"/>
      <c r="G158" s="745"/>
      <c r="H158" s="745"/>
      <c r="I158" s="745"/>
      <c r="J158" s="75">
        <f t="shared" si="16"/>
        <v>0</v>
      </c>
      <c r="K158" s="75">
        <f t="shared" si="17"/>
        <v>0</v>
      </c>
      <c r="L158" s="745"/>
      <c r="M158" s="747"/>
    </row>
    <row r="159" spans="1:13" ht="13.5" x14ac:dyDescent="0.25">
      <c r="A159" s="868">
        <f>'Org structure'!E153</f>
        <v>0</v>
      </c>
      <c r="B159" s="865"/>
      <c r="C159" s="746"/>
      <c r="D159" s="745"/>
      <c r="E159" s="745"/>
      <c r="F159" s="745"/>
      <c r="G159" s="745"/>
      <c r="H159" s="745"/>
      <c r="I159" s="745"/>
      <c r="J159" s="75">
        <f t="shared" si="16"/>
        <v>0</v>
      </c>
      <c r="K159" s="75">
        <f t="shared" si="17"/>
        <v>0</v>
      </c>
      <c r="L159" s="745"/>
      <c r="M159" s="747"/>
    </row>
    <row r="160" spans="1:13" ht="13.5" x14ac:dyDescent="0.25">
      <c r="A160" s="868">
        <f>'Org structure'!E154</f>
        <v>0</v>
      </c>
      <c r="B160" s="865"/>
      <c r="C160" s="746"/>
      <c r="D160" s="745"/>
      <c r="E160" s="745"/>
      <c r="F160" s="745"/>
      <c r="G160" s="745"/>
      <c r="H160" s="745"/>
      <c r="I160" s="745"/>
      <c r="J160" s="75">
        <f t="shared" si="16"/>
        <v>0</v>
      </c>
      <c r="K160" s="75">
        <f t="shared" si="17"/>
        <v>0</v>
      </c>
      <c r="L160" s="745"/>
      <c r="M160" s="747"/>
    </row>
    <row r="161" spans="1:14" ht="13.5" x14ac:dyDescent="0.25">
      <c r="A161" s="868">
        <f>'Org structure'!E155</f>
        <v>0</v>
      </c>
      <c r="B161" s="865"/>
      <c r="C161" s="746"/>
      <c r="D161" s="745"/>
      <c r="E161" s="745"/>
      <c r="F161" s="745"/>
      <c r="G161" s="745"/>
      <c r="H161" s="745"/>
      <c r="I161" s="745"/>
      <c r="J161" s="75">
        <f t="shared" si="16"/>
        <v>0</v>
      </c>
      <c r="K161" s="75">
        <f t="shared" si="17"/>
        <v>0</v>
      </c>
      <c r="L161" s="745"/>
      <c r="M161" s="747"/>
    </row>
    <row r="162" spans="1:14" ht="13.5" x14ac:dyDescent="0.25">
      <c r="A162" s="866" t="str">
        <f>'Org structure'!A16</f>
        <v>Vote 15 - [NAME OF VOTE 15]</v>
      </c>
      <c r="B162" s="865"/>
      <c r="C162" s="744">
        <f>SUM(C163:C172)</f>
        <v>0</v>
      </c>
      <c r="D162" s="743">
        <f t="shared" ref="D162:I162" si="20">SUM(D163:D172)</f>
        <v>0</v>
      </c>
      <c r="E162" s="743">
        <f t="shared" si="20"/>
        <v>0</v>
      </c>
      <c r="F162" s="743">
        <f t="shared" si="20"/>
        <v>0</v>
      </c>
      <c r="G162" s="743">
        <f t="shared" si="20"/>
        <v>0</v>
      </c>
      <c r="H162" s="743">
        <f t="shared" si="20"/>
        <v>0</v>
      </c>
      <c r="I162" s="743">
        <f t="shared" si="20"/>
        <v>0</v>
      </c>
      <c r="J162" s="75">
        <f t="shared" si="16"/>
        <v>0</v>
      </c>
      <c r="K162" s="75">
        <f t="shared" si="17"/>
        <v>0</v>
      </c>
      <c r="L162" s="743">
        <f>SUM(L163:L172)</f>
        <v>0</v>
      </c>
      <c r="M162" s="771">
        <f>SUM(M163:M172)</f>
        <v>0</v>
      </c>
    </row>
    <row r="163" spans="1:14" ht="13.5" x14ac:dyDescent="0.25">
      <c r="A163" s="868" t="str">
        <f>'Org structure'!E157</f>
        <v>15.1 - [Name of sub-vote]</v>
      </c>
      <c r="B163" s="865"/>
      <c r="C163" s="746"/>
      <c r="D163" s="745"/>
      <c r="E163" s="745"/>
      <c r="F163" s="745"/>
      <c r="G163" s="745"/>
      <c r="H163" s="745"/>
      <c r="I163" s="745"/>
      <c r="J163" s="75">
        <f t="shared" si="16"/>
        <v>0</v>
      </c>
      <c r="K163" s="75">
        <f t="shared" si="17"/>
        <v>0</v>
      </c>
      <c r="L163" s="745"/>
      <c r="M163" s="747"/>
    </row>
    <row r="164" spans="1:14" ht="13.5" x14ac:dyDescent="0.25">
      <c r="A164" s="868">
        <f>'Org structure'!E158</f>
        <v>0</v>
      </c>
      <c r="B164" s="865"/>
      <c r="C164" s="746"/>
      <c r="D164" s="745"/>
      <c r="E164" s="745"/>
      <c r="F164" s="745"/>
      <c r="G164" s="745"/>
      <c r="H164" s="745"/>
      <c r="I164" s="745"/>
      <c r="J164" s="75">
        <f t="shared" si="16"/>
        <v>0</v>
      </c>
      <c r="K164" s="75">
        <f t="shared" si="17"/>
        <v>0</v>
      </c>
      <c r="L164" s="745"/>
      <c r="M164" s="747"/>
    </row>
    <row r="165" spans="1:14" ht="13.5" x14ac:dyDescent="0.25">
      <c r="A165" s="868">
        <f>'Org structure'!E159</f>
        <v>0</v>
      </c>
      <c r="B165" s="865"/>
      <c r="C165" s="746"/>
      <c r="D165" s="745"/>
      <c r="E165" s="745"/>
      <c r="F165" s="745"/>
      <c r="G165" s="745"/>
      <c r="H165" s="745"/>
      <c r="I165" s="745"/>
      <c r="J165" s="75">
        <f t="shared" si="16"/>
        <v>0</v>
      </c>
      <c r="K165" s="75">
        <f t="shared" si="17"/>
        <v>0</v>
      </c>
      <c r="L165" s="745"/>
      <c r="M165" s="747"/>
    </row>
    <row r="166" spans="1:14" ht="13.5" x14ac:dyDescent="0.25">
      <c r="A166" s="868">
        <f>'Org structure'!E160</f>
        <v>0</v>
      </c>
      <c r="B166" s="865"/>
      <c r="C166" s="746"/>
      <c r="D166" s="745"/>
      <c r="E166" s="745"/>
      <c r="F166" s="745"/>
      <c r="G166" s="745"/>
      <c r="H166" s="745"/>
      <c r="I166" s="745"/>
      <c r="J166" s="75">
        <f t="shared" si="16"/>
        <v>0</v>
      </c>
      <c r="K166" s="75">
        <f t="shared" si="17"/>
        <v>0</v>
      </c>
      <c r="L166" s="745"/>
      <c r="M166" s="747"/>
    </row>
    <row r="167" spans="1:14" ht="13.5" x14ac:dyDescent="0.25">
      <c r="A167" s="868">
        <f>'Org structure'!E161</f>
        <v>0</v>
      </c>
      <c r="B167" s="865"/>
      <c r="C167" s="746"/>
      <c r="D167" s="745"/>
      <c r="E167" s="745"/>
      <c r="F167" s="745"/>
      <c r="G167" s="745"/>
      <c r="H167" s="745"/>
      <c r="I167" s="745"/>
      <c r="J167" s="75">
        <f t="shared" si="16"/>
        <v>0</v>
      </c>
      <c r="K167" s="75">
        <f t="shared" si="17"/>
        <v>0</v>
      </c>
      <c r="L167" s="745"/>
      <c r="M167" s="747"/>
    </row>
    <row r="168" spans="1:14" ht="13.5" x14ac:dyDescent="0.25">
      <c r="A168" s="868">
        <f>'Org structure'!E162</f>
        <v>0</v>
      </c>
      <c r="B168" s="865"/>
      <c r="C168" s="746"/>
      <c r="D168" s="745"/>
      <c r="E168" s="745"/>
      <c r="F168" s="745"/>
      <c r="G168" s="745"/>
      <c r="H168" s="745"/>
      <c r="I168" s="745"/>
      <c r="J168" s="75">
        <f t="shared" si="16"/>
        <v>0</v>
      </c>
      <c r="K168" s="75">
        <f t="shared" si="17"/>
        <v>0</v>
      </c>
      <c r="L168" s="745"/>
      <c r="M168" s="747"/>
    </row>
    <row r="169" spans="1:14" ht="13.5" x14ac:dyDescent="0.25">
      <c r="A169" s="868">
        <f>'Org structure'!E163</f>
        <v>0</v>
      </c>
      <c r="B169" s="865"/>
      <c r="C169" s="746"/>
      <c r="D169" s="745"/>
      <c r="E169" s="745"/>
      <c r="F169" s="745"/>
      <c r="G169" s="745"/>
      <c r="H169" s="745"/>
      <c r="I169" s="745"/>
      <c r="J169" s="75">
        <f t="shared" si="16"/>
        <v>0</v>
      </c>
      <c r="K169" s="75">
        <f t="shared" si="17"/>
        <v>0</v>
      </c>
      <c r="L169" s="745"/>
      <c r="M169" s="747"/>
    </row>
    <row r="170" spans="1:14" ht="13.5" x14ac:dyDescent="0.25">
      <c r="A170" s="868">
        <f>'Org structure'!E164</f>
        <v>0</v>
      </c>
      <c r="B170" s="865"/>
      <c r="C170" s="746"/>
      <c r="D170" s="745"/>
      <c r="E170" s="745"/>
      <c r="F170" s="745"/>
      <c r="G170" s="745"/>
      <c r="H170" s="745"/>
      <c r="I170" s="745"/>
      <c r="J170" s="75">
        <f t="shared" si="16"/>
        <v>0</v>
      </c>
      <c r="K170" s="75">
        <f t="shared" si="17"/>
        <v>0</v>
      </c>
      <c r="L170" s="745"/>
      <c r="M170" s="747"/>
    </row>
    <row r="171" spans="1:14" ht="13.5" x14ac:dyDescent="0.25">
      <c r="A171" s="868">
        <f>'Org structure'!E165</f>
        <v>0</v>
      </c>
      <c r="B171" s="865"/>
      <c r="C171" s="746"/>
      <c r="D171" s="745"/>
      <c r="E171" s="745"/>
      <c r="F171" s="745"/>
      <c r="G171" s="745"/>
      <c r="H171" s="745"/>
      <c r="I171" s="745"/>
      <c r="J171" s="75">
        <f t="shared" si="16"/>
        <v>0</v>
      </c>
      <c r="K171" s="75">
        <f t="shared" si="17"/>
        <v>0</v>
      </c>
      <c r="L171" s="745"/>
      <c r="M171" s="747"/>
    </row>
    <row r="172" spans="1:14" ht="13.5" x14ac:dyDescent="0.25">
      <c r="A172" s="868">
        <f>'Org structure'!E166</f>
        <v>0</v>
      </c>
      <c r="B172" s="865"/>
      <c r="C172" s="746"/>
      <c r="D172" s="745"/>
      <c r="E172" s="745"/>
      <c r="F172" s="745"/>
      <c r="G172" s="745"/>
      <c r="H172" s="745"/>
      <c r="I172" s="745"/>
      <c r="J172" s="75">
        <f t="shared" si="16"/>
        <v>0</v>
      </c>
      <c r="K172" s="75">
        <f t="shared" si="17"/>
        <v>0</v>
      </c>
      <c r="L172" s="745"/>
      <c r="M172" s="747"/>
    </row>
    <row r="173" spans="1:14" ht="13.5" x14ac:dyDescent="0.25">
      <c r="A173" s="870" t="s">
        <v>667</v>
      </c>
      <c r="B173" s="865"/>
      <c r="C173" s="750">
        <f>C8+C19+C30+C41+C52+C63+C74+C85+C96+C107+C118+C129+C140+C151+C162</f>
        <v>0</v>
      </c>
      <c r="D173" s="749">
        <f t="shared" ref="D173:I173" si="21">D8+D19+D30+D41+D52+D63+D74+D85+D96+D107+D118+D129+D140+D151+D162</f>
        <v>0</v>
      </c>
      <c r="E173" s="749">
        <f t="shared" si="21"/>
        <v>0</v>
      </c>
      <c r="F173" s="749">
        <f t="shared" si="21"/>
        <v>0</v>
      </c>
      <c r="G173" s="749">
        <f t="shared" si="21"/>
        <v>0</v>
      </c>
      <c r="H173" s="749">
        <f t="shared" si="21"/>
        <v>0</v>
      </c>
      <c r="I173" s="749">
        <f t="shared" si="21"/>
        <v>0</v>
      </c>
      <c r="J173" s="75">
        <f t="shared" si="16"/>
        <v>0</v>
      </c>
      <c r="K173" s="75">
        <f t="shared" si="17"/>
        <v>0</v>
      </c>
      <c r="L173" s="749">
        <f>L8+L19+L30+L41+L52+L63+L74+L85+L96+L107+L118+L129+L140+L151+L162</f>
        <v>0</v>
      </c>
      <c r="M173" s="772">
        <f>M8+M19+M30+M41+M52+M63+M74+M85+M96+M107+M118+M129+M140+M151+M162</f>
        <v>0</v>
      </c>
    </row>
    <row r="174" spans="1:14" ht="5.25" customHeight="1" x14ac:dyDescent="0.25">
      <c r="A174" s="871"/>
      <c r="B174" s="865"/>
      <c r="C174" s="753"/>
      <c r="D174" s="752"/>
      <c r="E174" s="752"/>
      <c r="F174" s="752"/>
      <c r="G174" s="752"/>
      <c r="H174" s="752"/>
      <c r="I174" s="752"/>
      <c r="J174" s="752"/>
      <c r="K174" s="752"/>
      <c r="L174" s="752"/>
      <c r="M174" s="773"/>
    </row>
    <row r="175" spans="1:14" ht="17.25" customHeight="1" x14ac:dyDescent="0.25">
      <c r="A175" s="863" t="s">
        <v>1021</v>
      </c>
      <c r="B175" s="872">
        <v>2</v>
      </c>
      <c r="C175" s="777"/>
      <c r="D175" s="138"/>
      <c r="E175" s="138"/>
      <c r="F175" s="138"/>
      <c r="G175" s="138"/>
      <c r="H175" s="138"/>
      <c r="I175" s="138"/>
      <c r="J175" s="138"/>
      <c r="K175" s="138"/>
      <c r="L175" s="138"/>
      <c r="M175" s="205"/>
      <c r="N175" s="781"/>
    </row>
    <row r="176" spans="1:14" ht="13.5" x14ac:dyDescent="0.25">
      <c r="A176" s="863" t="s">
        <v>1103</v>
      </c>
      <c r="B176" s="873"/>
      <c r="C176" s="777"/>
      <c r="D176" s="138"/>
      <c r="E176" s="138"/>
      <c r="F176" s="138"/>
      <c r="G176" s="138"/>
      <c r="H176" s="138"/>
      <c r="I176" s="138"/>
      <c r="J176" s="138"/>
      <c r="K176" s="138"/>
      <c r="L176" s="138"/>
      <c r="M176" s="205"/>
    </row>
    <row r="177" spans="1:13" ht="13.5" x14ac:dyDescent="0.25">
      <c r="A177" s="866" t="str">
        <f>B5B!A8</f>
        <v>Vote 1 - Municipal Manager</v>
      </c>
      <c r="B177" s="865"/>
      <c r="C177" s="759">
        <f>SUM(C178:C187)</f>
        <v>100000</v>
      </c>
      <c r="D177" s="758">
        <f t="shared" ref="D177:I177" si="22">SUM(D178:D187)</f>
        <v>0</v>
      </c>
      <c r="E177" s="758">
        <f t="shared" si="22"/>
        <v>0</v>
      </c>
      <c r="F177" s="758">
        <f t="shared" si="22"/>
        <v>0</v>
      </c>
      <c r="G177" s="758">
        <f t="shared" si="22"/>
        <v>0</v>
      </c>
      <c r="H177" s="758">
        <f t="shared" si="22"/>
        <v>0</v>
      </c>
      <c r="I177" s="758">
        <f t="shared" si="22"/>
        <v>-93941</v>
      </c>
      <c r="J177" s="75">
        <f t="shared" ref="J177:J240" si="23">SUM(E177:I177)</f>
        <v>-93941</v>
      </c>
      <c r="K177" s="75">
        <f t="shared" ref="K177:K240" si="24">IF(D177=0,C177+J177,D177+J177)</f>
        <v>6059</v>
      </c>
      <c r="L177" s="758">
        <f>SUM(L178:L187)</f>
        <v>0</v>
      </c>
      <c r="M177" s="775">
        <f>SUM(M178:M187)</f>
        <v>0</v>
      </c>
    </row>
    <row r="178" spans="1:13" ht="13.5" x14ac:dyDescent="0.25">
      <c r="A178" s="868" t="str">
        <f>B5B!A9</f>
        <v>1.1 - Administration Municipal Manager</v>
      </c>
      <c r="B178" s="867"/>
      <c r="C178" s="389">
        <v>100000</v>
      </c>
      <c r="D178" s="109"/>
      <c r="E178" s="109"/>
      <c r="F178" s="109"/>
      <c r="G178" s="109"/>
      <c r="H178" s="109"/>
      <c r="I178" s="109">
        <v>-93941</v>
      </c>
      <c r="J178" s="75">
        <f t="shared" si="23"/>
        <v>-93941</v>
      </c>
      <c r="K178" s="75">
        <f t="shared" si="24"/>
        <v>6059</v>
      </c>
      <c r="L178" s="109"/>
      <c r="M178" s="110"/>
    </row>
    <row r="179" spans="1:13" ht="13.5" x14ac:dyDescent="0.25">
      <c r="A179" s="868" t="str">
        <f>B5B!A10</f>
        <v>1.2 - Internal Audit</v>
      </c>
      <c r="B179" s="865"/>
      <c r="C179" s="389"/>
      <c r="D179" s="109"/>
      <c r="E179" s="109"/>
      <c r="F179" s="109"/>
      <c r="G179" s="109"/>
      <c r="H179" s="109"/>
      <c r="I179" s="109"/>
      <c r="J179" s="75">
        <f t="shared" si="23"/>
        <v>0</v>
      </c>
      <c r="K179" s="75">
        <f t="shared" si="24"/>
        <v>0</v>
      </c>
      <c r="L179" s="109"/>
      <c r="M179" s="110"/>
    </row>
    <row r="180" spans="1:13" ht="13.5" x14ac:dyDescent="0.25">
      <c r="A180" s="868" t="str">
        <f>B5B!A11</f>
        <v>1.4 - Strategic Support</v>
      </c>
      <c r="B180" s="865"/>
      <c r="C180" s="389"/>
      <c r="D180" s="109"/>
      <c r="E180" s="109"/>
      <c r="F180" s="109"/>
      <c r="G180" s="109"/>
      <c r="H180" s="109"/>
      <c r="I180" s="109"/>
      <c r="J180" s="75">
        <f t="shared" si="23"/>
        <v>0</v>
      </c>
      <c r="K180" s="75">
        <f t="shared" si="24"/>
        <v>0</v>
      </c>
      <c r="L180" s="109"/>
      <c r="M180" s="110"/>
    </row>
    <row r="181" spans="1:13" ht="13.5" x14ac:dyDescent="0.25">
      <c r="A181" s="868" t="str">
        <f>B5B!A12</f>
        <v>1.5 - Risk Management</v>
      </c>
      <c r="B181" s="865"/>
      <c r="C181" s="389"/>
      <c r="D181" s="109"/>
      <c r="E181" s="109"/>
      <c r="F181" s="109"/>
      <c r="G181" s="109"/>
      <c r="H181" s="109"/>
      <c r="I181" s="109"/>
      <c r="J181" s="75">
        <f t="shared" si="23"/>
        <v>0</v>
      </c>
      <c r="K181" s="75">
        <f t="shared" si="24"/>
        <v>0</v>
      </c>
      <c r="L181" s="109"/>
      <c r="M181" s="110"/>
    </row>
    <row r="182" spans="1:13" ht="13.5" x14ac:dyDescent="0.25">
      <c r="A182" s="868" t="str">
        <f>B5B!A13</f>
        <v>1.3 - Disaster Management</v>
      </c>
      <c r="B182" s="865"/>
      <c r="C182" s="389"/>
      <c r="D182" s="109"/>
      <c r="E182" s="109"/>
      <c r="F182" s="109"/>
      <c r="G182" s="109"/>
      <c r="H182" s="109"/>
      <c r="I182" s="109"/>
      <c r="J182" s="75">
        <f t="shared" si="23"/>
        <v>0</v>
      </c>
      <c r="K182" s="75">
        <f t="shared" si="24"/>
        <v>0</v>
      </c>
      <c r="L182" s="109"/>
      <c r="M182" s="110"/>
    </row>
    <row r="183" spans="1:13" ht="13.5" x14ac:dyDescent="0.25">
      <c r="A183" s="868" t="str">
        <f>B5B!A14</f>
        <v>1.6 - Legal Services</v>
      </c>
      <c r="B183" s="865"/>
      <c r="C183" s="389"/>
      <c r="D183" s="109"/>
      <c r="E183" s="109"/>
      <c r="F183" s="109"/>
      <c r="G183" s="109"/>
      <c r="H183" s="109"/>
      <c r="I183" s="109"/>
      <c r="J183" s="75">
        <f t="shared" si="23"/>
        <v>0</v>
      </c>
      <c r="K183" s="75">
        <f t="shared" si="24"/>
        <v>0</v>
      </c>
      <c r="L183" s="109"/>
      <c r="M183" s="110"/>
    </row>
    <row r="184" spans="1:13" ht="13.5" x14ac:dyDescent="0.25">
      <c r="A184" s="868">
        <f>B5B!A15</f>
        <v>0</v>
      </c>
      <c r="B184" s="865"/>
      <c r="C184" s="389"/>
      <c r="D184" s="109"/>
      <c r="E184" s="109"/>
      <c r="F184" s="109"/>
      <c r="G184" s="109"/>
      <c r="H184" s="109"/>
      <c r="I184" s="109"/>
      <c r="J184" s="75">
        <f t="shared" si="23"/>
        <v>0</v>
      </c>
      <c r="K184" s="75">
        <f t="shared" si="24"/>
        <v>0</v>
      </c>
      <c r="L184" s="109"/>
      <c r="M184" s="110"/>
    </row>
    <row r="185" spans="1:13" ht="13.5" x14ac:dyDescent="0.25">
      <c r="A185" s="868">
        <f>B5B!A16</f>
        <v>0</v>
      </c>
      <c r="B185" s="865"/>
      <c r="C185" s="389"/>
      <c r="D185" s="109"/>
      <c r="E185" s="109"/>
      <c r="F185" s="109"/>
      <c r="G185" s="109"/>
      <c r="H185" s="109"/>
      <c r="I185" s="109"/>
      <c r="J185" s="75">
        <f t="shared" si="23"/>
        <v>0</v>
      </c>
      <c r="K185" s="75">
        <f t="shared" si="24"/>
        <v>0</v>
      </c>
      <c r="L185" s="109"/>
      <c r="M185" s="110"/>
    </row>
    <row r="186" spans="1:13" ht="13.5" x14ac:dyDescent="0.25">
      <c r="A186" s="868">
        <f>B5B!A17</f>
        <v>0</v>
      </c>
      <c r="B186" s="865"/>
      <c r="C186" s="389"/>
      <c r="D186" s="109"/>
      <c r="E186" s="109"/>
      <c r="F186" s="109"/>
      <c r="G186" s="109"/>
      <c r="H186" s="109"/>
      <c r="I186" s="109"/>
      <c r="J186" s="75">
        <f t="shared" si="23"/>
        <v>0</v>
      </c>
      <c r="K186" s="75">
        <f t="shared" si="24"/>
        <v>0</v>
      </c>
      <c r="L186" s="109"/>
      <c r="M186" s="110"/>
    </row>
    <row r="187" spans="1:13" ht="13.5" x14ac:dyDescent="0.25">
      <c r="A187" s="868">
        <f>B5B!A18</f>
        <v>0</v>
      </c>
      <c r="B187" s="865"/>
      <c r="C187" s="389"/>
      <c r="D187" s="109"/>
      <c r="E187" s="109"/>
      <c r="F187" s="109"/>
      <c r="G187" s="109"/>
      <c r="H187" s="109"/>
      <c r="I187" s="109"/>
      <c r="J187" s="75">
        <f t="shared" si="23"/>
        <v>0</v>
      </c>
      <c r="K187" s="75">
        <f t="shared" si="24"/>
        <v>0</v>
      </c>
      <c r="L187" s="109"/>
      <c r="M187" s="110"/>
    </row>
    <row r="188" spans="1:13" ht="13.5" x14ac:dyDescent="0.25">
      <c r="A188" s="866" t="str">
        <f>B5B!A19</f>
        <v>Vote 2 - Planning &amp; Economic Development</v>
      </c>
      <c r="B188" s="865"/>
      <c r="C188" s="744">
        <f>SUM(C189:C198)</f>
        <v>100000</v>
      </c>
      <c r="D188" s="743">
        <f t="shared" ref="D188:I188" si="25">SUM(D189:D198)</f>
        <v>0</v>
      </c>
      <c r="E188" s="743">
        <f t="shared" si="25"/>
        <v>0</v>
      </c>
      <c r="F188" s="743">
        <f t="shared" si="25"/>
        <v>0</v>
      </c>
      <c r="G188" s="743">
        <f t="shared" si="25"/>
        <v>0</v>
      </c>
      <c r="H188" s="743">
        <f t="shared" si="25"/>
        <v>0</v>
      </c>
      <c r="I188" s="743">
        <f t="shared" si="25"/>
        <v>-86109</v>
      </c>
      <c r="J188" s="75">
        <f t="shared" si="23"/>
        <v>-86109</v>
      </c>
      <c r="K188" s="75">
        <f t="shared" si="24"/>
        <v>13891</v>
      </c>
      <c r="L188" s="743">
        <f>SUM(L189:L198)</f>
        <v>0</v>
      </c>
      <c r="M188" s="771">
        <f>SUM(M189:M198)</f>
        <v>0</v>
      </c>
    </row>
    <row r="189" spans="1:13" ht="13.5" x14ac:dyDescent="0.25">
      <c r="A189" s="868" t="str">
        <f>B5B!A20</f>
        <v>2.1 - Administration Strategy &amp; Development</v>
      </c>
      <c r="B189" s="865"/>
      <c r="C189" s="389">
        <v>100000</v>
      </c>
      <c r="D189" s="109"/>
      <c r="E189" s="109"/>
      <c r="F189" s="109"/>
      <c r="G189" s="109"/>
      <c r="H189" s="109"/>
      <c r="I189" s="109">
        <f>-86109</f>
        <v>-86109</v>
      </c>
      <c r="J189" s="75">
        <f t="shared" si="23"/>
        <v>-86109</v>
      </c>
      <c r="K189" s="75">
        <f t="shared" si="24"/>
        <v>13891</v>
      </c>
      <c r="L189" s="109"/>
      <c r="M189" s="110"/>
    </row>
    <row r="190" spans="1:13" ht="13.5" x14ac:dyDescent="0.25">
      <c r="A190" s="868" t="str">
        <f>B5B!A21</f>
        <v>2.2 - Local Economic Development</v>
      </c>
      <c r="B190" s="865"/>
      <c r="C190" s="389"/>
      <c r="D190" s="109"/>
      <c r="E190" s="109"/>
      <c r="F190" s="109"/>
      <c r="G190" s="109"/>
      <c r="H190" s="109"/>
      <c r="I190" s="109"/>
      <c r="J190" s="75">
        <f t="shared" si="23"/>
        <v>0</v>
      </c>
      <c r="K190" s="75">
        <f t="shared" si="24"/>
        <v>0</v>
      </c>
      <c r="L190" s="109"/>
      <c r="M190" s="110"/>
    </row>
    <row r="191" spans="1:13" ht="13.5" x14ac:dyDescent="0.25">
      <c r="A191" s="868" t="str">
        <f>B5B!A22</f>
        <v>2.3 - Town &amp; Regional Planning</v>
      </c>
      <c r="B191" s="865"/>
      <c r="C191" s="389"/>
      <c r="D191" s="109"/>
      <c r="E191" s="109"/>
      <c r="F191" s="109"/>
      <c r="G191" s="109"/>
      <c r="H191" s="109"/>
      <c r="I191" s="109"/>
      <c r="J191" s="75">
        <f t="shared" si="23"/>
        <v>0</v>
      </c>
      <c r="K191" s="75">
        <f t="shared" si="24"/>
        <v>0</v>
      </c>
      <c r="L191" s="109"/>
      <c r="M191" s="110"/>
    </row>
    <row r="192" spans="1:13" ht="13.5" x14ac:dyDescent="0.25">
      <c r="A192" s="868" t="str">
        <f>B5B!A23</f>
        <v>2.4 - Housing Administration</v>
      </c>
      <c r="B192" s="865"/>
      <c r="C192" s="389"/>
      <c r="D192" s="109"/>
      <c r="E192" s="109"/>
      <c r="F192" s="109"/>
      <c r="G192" s="109"/>
      <c r="H192" s="109"/>
      <c r="I192" s="109"/>
      <c r="J192" s="75">
        <f t="shared" si="23"/>
        <v>0</v>
      </c>
      <c r="K192" s="75">
        <f t="shared" si="24"/>
        <v>0</v>
      </c>
      <c r="L192" s="109"/>
      <c r="M192" s="110"/>
    </row>
    <row r="193" spans="1:13" ht="13.5" x14ac:dyDescent="0.25">
      <c r="A193" s="868" t="str">
        <f>B5B!A24</f>
        <v>2.5 - SATELITE OFFICE: NKOWANKOWA</v>
      </c>
      <c r="B193" s="865"/>
      <c r="C193" s="389"/>
      <c r="D193" s="109"/>
      <c r="E193" s="109"/>
      <c r="F193" s="109"/>
      <c r="G193" s="109"/>
      <c r="H193" s="109"/>
      <c r="I193" s="109"/>
      <c r="J193" s="75">
        <f t="shared" si="23"/>
        <v>0</v>
      </c>
      <c r="K193" s="75">
        <f t="shared" si="24"/>
        <v>0</v>
      </c>
      <c r="L193" s="109"/>
      <c r="M193" s="110"/>
    </row>
    <row r="194" spans="1:13" ht="13.5" x14ac:dyDescent="0.25">
      <c r="A194" s="868" t="str">
        <f>B5B!A25</f>
        <v>2.6 - SATELITE OFFICE: LENYENYE</v>
      </c>
      <c r="B194" s="865"/>
      <c r="C194" s="389"/>
      <c r="D194" s="109"/>
      <c r="E194" s="109"/>
      <c r="F194" s="109"/>
      <c r="G194" s="109"/>
      <c r="H194" s="109"/>
      <c r="I194" s="109"/>
      <c r="J194" s="75">
        <f t="shared" si="23"/>
        <v>0</v>
      </c>
      <c r="K194" s="75">
        <f t="shared" si="24"/>
        <v>0</v>
      </c>
      <c r="L194" s="109"/>
      <c r="M194" s="110"/>
    </row>
    <row r="195" spans="1:13" ht="13.5" x14ac:dyDescent="0.25">
      <c r="A195" s="868" t="str">
        <f>B5B!A26</f>
        <v>2.7 - SATELITE OFFICE: LETSITELE</v>
      </c>
      <c r="B195" s="865"/>
      <c r="C195" s="389"/>
      <c r="D195" s="109"/>
      <c r="E195" s="109"/>
      <c r="F195" s="109"/>
      <c r="G195" s="109"/>
      <c r="H195" s="109"/>
      <c r="I195" s="109"/>
      <c r="J195" s="75">
        <f t="shared" si="23"/>
        <v>0</v>
      </c>
      <c r="K195" s="75">
        <f t="shared" si="24"/>
        <v>0</v>
      </c>
      <c r="L195" s="109"/>
      <c r="M195" s="110"/>
    </row>
    <row r="196" spans="1:13" ht="13.5" x14ac:dyDescent="0.25">
      <c r="A196" s="868">
        <f>B5B!A27</f>
        <v>0</v>
      </c>
      <c r="B196" s="865"/>
      <c r="C196" s="389"/>
      <c r="D196" s="109"/>
      <c r="E196" s="109"/>
      <c r="F196" s="109"/>
      <c r="G196" s="109"/>
      <c r="H196" s="109"/>
      <c r="I196" s="109"/>
      <c r="J196" s="75">
        <f t="shared" si="23"/>
        <v>0</v>
      </c>
      <c r="K196" s="75">
        <f t="shared" si="24"/>
        <v>0</v>
      </c>
      <c r="L196" s="109"/>
      <c r="M196" s="110"/>
    </row>
    <row r="197" spans="1:13" ht="13.5" x14ac:dyDescent="0.25">
      <c r="A197" s="868">
        <f>B5B!A28</f>
        <v>0</v>
      </c>
      <c r="B197" s="865"/>
      <c r="C197" s="389"/>
      <c r="D197" s="109"/>
      <c r="E197" s="109"/>
      <c r="F197" s="109"/>
      <c r="G197" s="109"/>
      <c r="H197" s="109"/>
      <c r="I197" s="109"/>
      <c r="J197" s="75">
        <f t="shared" si="23"/>
        <v>0</v>
      </c>
      <c r="K197" s="75">
        <f t="shared" si="24"/>
        <v>0</v>
      </c>
      <c r="L197" s="109"/>
      <c r="M197" s="110"/>
    </row>
    <row r="198" spans="1:13" ht="13.5" x14ac:dyDescent="0.25">
      <c r="A198" s="868">
        <f>B5B!A29</f>
        <v>0</v>
      </c>
      <c r="B198" s="867"/>
      <c r="C198" s="389"/>
      <c r="D198" s="109"/>
      <c r="E198" s="109"/>
      <c r="F198" s="109"/>
      <c r="G198" s="109"/>
      <c r="H198" s="109"/>
      <c r="I198" s="109"/>
      <c r="J198" s="75">
        <f t="shared" si="23"/>
        <v>0</v>
      </c>
      <c r="K198" s="75">
        <f t="shared" si="24"/>
        <v>0</v>
      </c>
      <c r="L198" s="109"/>
      <c r="M198" s="110"/>
    </row>
    <row r="199" spans="1:13" ht="13.5" x14ac:dyDescent="0.25">
      <c r="A199" s="866" t="str">
        <f>B5B!A30</f>
        <v>Vote 3 - Financial Services</v>
      </c>
      <c r="B199" s="865"/>
      <c r="C199" s="744">
        <f>SUM(C200:C209)</f>
        <v>100000</v>
      </c>
      <c r="D199" s="743">
        <f t="shared" ref="D199:I199" si="26">SUM(D200:D209)</f>
        <v>0</v>
      </c>
      <c r="E199" s="743">
        <f t="shared" si="26"/>
        <v>0</v>
      </c>
      <c r="F199" s="743">
        <f t="shared" si="26"/>
        <v>0</v>
      </c>
      <c r="G199" s="743">
        <f t="shared" si="26"/>
        <v>0</v>
      </c>
      <c r="H199" s="743">
        <f t="shared" si="26"/>
        <v>0</v>
      </c>
      <c r="I199" s="743">
        <f t="shared" si="26"/>
        <v>1952830</v>
      </c>
      <c r="J199" s="75">
        <f t="shared" si="23"/>
        <v>1952830</v>
      </c>
      <c r="K199" s="75">
        <f t="shared" si="24"/>
        <v>2052830</v>
      </c>
      <c r="L199" s="743">
        <f>SUM(L200:L209)</f>
        <v>0</v>
      </c>
      <c r="M199" s="771">
        <f>SUM(M200:M209)</f>
        <v>0</v>
      </c>
    </row>
    <row r="200" spans="1:13" ht="13.5" x14ac:dyDescent="0.25">
      <c r="A200" s="868" t="str">
        <f>B5B!A31</f>
        <v>3.1 - Administration Finance</v>
      </c>
      <c r="B200" s="865"/>
      <c r="C200" s="389">
        <v>100000</v>
      </c>
      <c r="D200" s="109"/>
      <c r="E200" s="109"/>
      <c r="F200" s="109"/>
      <c r="G200" s="109"/>
      <c r="H200" s="109"/>
      <c r="I200" s="109">
        <f>96143-100000</f>
        <v>-3857</v>
      </c>
      <c r="J200" s="75">
        <f t="shared" si="23"/>
        <v>-3857</v>
      </c>
      <c r="K200" s="75">
        <f t="shared" si="24"/>
        <v>96143</v>
      </c>
      <c r="L200" s="109"/>
      <c r="M200" s="110"/>
    </row>
    <row r="201" spans="1:13" ht="13.5" x14ac:dyDescent="0.25">
      <c r="A201" s="868" t="str">
        <f>B5B!A32</f>
        <v>3.2 - Budget office</v>
      </c>
      <c r="B201" s="865"/>
      <c r="C201" s="389"/>
      <c r="D201" s="109"/>
      <c r="E201" s="109"/>
      <c r="F201" s="109"/>
      <c r="G201" s="109"/>
      <c r="H201" s="109"/>
      <c r="I201" s="109"/>
      <c r="J201" s="75">
        <f t="shared" si="23"/>
        <v>0</v>
      </c>
      <c r="K201" s="75">
        <f t="shared" si="24"/>
        <v>0</v>
      </c>
      <c r="L201" s="109"/>
      <c r="M201" s="110"/>
    </row>
    <row r="202" spans="1:13" ht="13.5" x14ac:dyDescent="0.25">
      <c r="A202" s="868" t="str">
        <f>B5B!A33</f>
        <v>3.3 - Revenue</v>
      </c>
      <c r="B202" s="865"/>
      <c r="C202" s="389"/>
      <c r="D202" s="109"/>
      <c r="E202" s="109"/>
      <c r="F202" s="109"/>
      <c r="G202" s="109"/>
      <c r="H202" s="109"/>
      <c r="I202" s="109"/>
      <c r="J202" s="75">
        <f t="shared" si="23"/>
        <v>0</v>
      </c>
      <c r="K202" s="75">
        <f t="shared" si="24"/>
        <v>0</v>
      </c>
      <c r="L202" s="109"/>
      <c r="M202" s="110"/>
    </row>
    <row r="203" spans="1:13" ht="13.5" x14ac:dyDescent="0.25">
      <c r="A203" s="868" t="str">
        <f>B5B!A34</f>
        <v>3.4 - Expenditure</v>
      </c>
      <c r="B203" s="865"/>
      <c r="C203" s="389"/>
      <c r="D203" s="109"/>
      <c r="E203" s="109"/>
      <c r="F203" s="109"/>
      <c r="G203" s="109"/>
      <c r="H203" s="109"/>
      <c r="I203" s="109"/>
      <c r="J203" s="75">
        <f t="shared" si="23"/>
        <v>0</v>
      </c>
      <c r="K203" s="75">
        <f t="shared" si="24"/>
        <v>0</v>
      </c>
      <c r="L203" s="109"/>
      <c r="M203" s="110"/>
    </row>
    <row r="204" spans="1:13" ht="13.5" x14ac:dyDescent="0.25">
      <c r="A204" s="868" t="str">
        <f>B5B!A35</f>
        <v>3.5 - Inventory</v>
      </c>
      <c r="B204" s="865"/>
      <c r="C204" s="389"/>
      <c r="D204" s="109"/>
      <c r="E204" s="109"/>
      <c r="F204" s="109"/>
      <c r="G204" s="109"/>
      <c r="H204" s="109"/>
      <c r="I204" s="109">
        <v>1956687</v>
      </c>
      <c r="J204" s="75">
        <f t="shared" si="23"/>
        <v>1956687</v>
      </c>
      <c r="K204" s="75">
        <f t="shared" si="24"/>
        <v>1956687</v>
      </c>
      <c r="L204" s="109"/>
      <c r="M204" s="110"/>
    </row>
    <row r="205" spans="1:13" ht="13.5" x14ac:dyDescent="0.25">
      <c r="A205" s="868" t="str">
        <f>B5B!A36</f>
        <v>3.6 - Supply Chain Management</v>
      </c>
      <c r="B205" s="865"/>
      <c r="C205" s="389"/>
      <c r="D205" s="109"/>
      <c r="E205" s="109"/>
      <c r="F205" s="109"/>
      <c r="G205" s="109"/>
      <c r="H205" s="109"/>
      <c r="I205" s="109"/>
      <c r="J205" s="75">
        <f t="shared" si="23"/>
        <v>0</v>
      </c>
      <c r="K205" s="75">
        <f t="shared" si="24"/>
        <v>0</v>
      </c>
      <c r="L205" s="109"/>
      <c r="M205" s="110"/>
    </row>
    <row r="206" spans="1:13" ht="13.5" x14ac:dyDescent="0.25">
      <c r="A206" s="868">
        <f>B5B!A37</f>
        <v>0</v>
      </c>
      <c r="B206" s="865"/>
      <c r="C206" s="389"/>
      <c r="D206" s="109"/>
      <c r="E206" s="109"/>
      <c r="F206" s="109"/>
      <c r="G206" s="109"/>
      <c r="H206" s="109"/>
      <c r="I206" s="109"/>
      <c r="J206" s="75">
        <f t="shared" si="23"/>
        <v>0</v>
      </c>
      <c r="K206" s="75">
        <f t="shared" si="24"/>
        <v>0</v>
      </c>
      <c r="L206" s="109"/>
      <c r="M206" s="110"/>
    </row>
    <row r="207" spans="1:13" ht="13.5" x14ac:dyDescent="0.25">
      <c r="A207" s="868">
        <f>B5B!A38</f>
        <v>0</v>
      </c>
      <c r="B207" s="865"/>
      <c r="C207" s="389"/>
      <c r="D207" s="109"/>
      <c r="E207" s="109"/>
      <c r="F207" s="109"/>
      <c r="G207" s="109"/>
      <c r="H207" s="109"/>
      <c r="I207" s="109"/>
      <c r="J207" s="75">
        <f t="shared" si="23"/>
        <v>0</v>
      </c>
      <c r="K207" s="75">
        <f t="shared" si="24"/>
        <v>0</v>
      </c>
      <c r="L207" s="109"/>
      <c r="M207" s="110"/>
    </row>
    <row r="208" spans="1:13" ht="13.5" x14ac:dyDescent="0.25">
      <c r="A208" s="868">
        <f>B5B!A39</f>
        <v>0</v>
      </c>
      <c r="B208" s="865"/>
      <c r="C208" s="389"/>
      <c r="D208" s="109"/>
      <c r="E208" s="109"/>
      <c r="F208" s="109"/>
      <c r="G208" s="109"/>
      <c r="H208" s="109"/>
      <c r="I208" s="109"/>
      <c r="J208" s="75">
        <f t="shared" si="23"/>
        <v>0</v>
      </c>
      <c r="K208" s="75">
        <f t="shared" si="24"/>
        <v>0</v>
      </c>
      <c r="L208" s="109"/>
      <c r="M208" s="110"/>
    </row>
    <row r="209" spans="1:13" ht="13.5" x14ac:dyDescent="0.25">
      <c r="A209" s="868">
        <f>B5B!A40</f>
        <v>0</v>
      </c>
      <c r="B209" s="867"/>
      <c r="C209" s="389"/>
      <c r="D209" s="109"/>
      <c r="E209" s="109"/>
      <c r="F209" s="109"/>
      <c r="G209" s="109"/>
      <c r="H209" s="109"/>
      <c r="I209" s="109"/>
      <c r="J209" s="75">
        <f t="shared" si="23"/>
        <v>0</v>
      </c>
      <c r="K209" s="75">
        <f t="shared" si="24"/>
        <v>0</v>
      </c>
      <c r="L209" s="109"/>
      <c r="M209" s="110"/>
    </row>
    <row r="210" spans="1:13" ht="13.5" x14ac:dyDescent="0.25">
      <c r="A210" s="866" t="str">
        <f>B5B!A41</f>
        <v>Vote 4 - Corporate Services</v>
      </c>
      <c r="B210" s="865"/>
      <c r="C210" s="744">
        <f t="shared" ref="C210:I210" si="27">SUM(C211:C220)</f>
        <v>100000</v>
      </c>
      <c r="D210" s="743">
        <f t="shared" si="27"/>
        <v>0</v>
      </c>
      <c r="E210" s="743">
        <f t="shared" si="27"/>
        <v>0</v>
      </c>
      <c r="F210" s="743">
        <f t="shared" si="27"/>
        <v>0</v>
      </c>
      <c r="G210" s="743">
        <f t="shared" si="27"/>
        <v>0</v>
      </c>
      <c r="H210" s="743">
        <f t="shared" si="27"/>
        <v>0</v>
      </c>
      <c r="I210" s="743">
        <f t="shared" si="27"/>
        <v>-61701</v>
      </c>
      <c r="J210" s="75">
        <f t="shared" si="23"/>
        <v>-61701</v>
      </c>
      <c r="K210" s="75">
        <f t="shared" si="24"/>
        <v>38299</v>
      </c>
      <c r="L210" s="743">
        <f>SUM(L211:L220)</f>
        <v>0</v>
      </c>
      <c r="M210" s="771">
        <f>SUM(M211:M220)</f>
        <v>0</v>
      </c>
    </row>
    <row r="211" spans="1:13" ht="13.5" x14ac:dyDescent="0.25">
      <c r="A211" s="868" t="str">
        <f>B5B!A42</f>
        <v>4.1 - Communications</v>
      </c>
      <c r="B211" s="865"/>
      <c r="C211" s="389"/>
      <c r="D211" s="109"/>
      <c r="E211" s="109"/>
      <c r="F211" s="109"/>
      <c r="G211" s="109"/>
      <c r="H211" s="109"/>
      <c r="I211" s="109"/>
      <c r="J211" s="75">
        <f t="shared" si="23"/>
        <v>0</v>
      </c>
      <c r="K211" s="75">
        <f t="shared" si="24"/>
        <v>0</v>
      </c>
      <c r="L211" s="109"/>
      <c r="M211" s="110"/>
    </row>
    <row r="212" spans="1:13" ht="13.5" x14ac:dyDescent="0.25">
      <c r="A212" s="868" t="str">
        <f>B5B!A43</f>
        <v>4.2 - Public Participation &amp; Project Support</v>
      </c>
      <c r="B212" s="865"/>
      <c r="C212" s="389"/>
      <c r="D212" s="109"/>
      <c r="E212" s="109"/>
      <c r="F212" s="109"/>
      <c r="G212" s="109"/>
      <c r="H212" s="109"/>
      <c r="I212" s="109"/>
      <c r="J212" s="75">
        <f t="shared" si="23"/>
        <v>0</v>
      </c>
      <c r="K212" s="75">
        <f t="shared" si="24"/>
        <v>0</v>
      </c>
      <c r="L212" s="109"/>
      <c r="M212" s="110"/>
    </row>
    <row r="213" spans="1:13" ht="13.5" x14ac:dyDescent="0.25">
      <c r="A213" s="868" t="str">
        <f>B5B!A44</f>
        <v>4.8 - Information Technolgy</v>
      </c>
      <c r="B213" s="865"/>
      <c r="C213" s="389"/>
      <c r="D213" s="109"/>
      <c r="E213" s="109"/>
      <c r="F213" s="109"/>
      <c r="G213" s="109"/>
      <c r="H213" s="109"/>
      <c r="I213" s="109"/>
      <c r="J213" s="75">
        <f t="shared" si="23"/>
        <v>0</v>
      </c>
      <c r="K213" s="75">
        <f t="shared" si="24"/>
        <v>0</v>
      </c>
      <c r="L213" s="109"/>
      <c r="M213" s="110"/>
    </row>
    <row r="214" spans="1:13" ht="13.5" x14ac:dyDescent="0.25">
      <c r="A214" s="868" t="str">
        <f>B5B!A45</f>
        <v>4.3 - Administration HR &amp; Corporate</v>
      </c>
      <c r="B214" s="865"/>
      <c r="C214" s="389">
        <v>100000</v>
      </c>
      <c r="D214" s="109"/>
      <c r="E214" s="109"/>
      <c r="F214" s="109"/>
      <c r="G214" s="109"/>
      <c r="H214" s="109"/>
      <c r="I214" s="109">
        <f>38299-100000</f>
        <v>-61701</v>
      </c>
      <c r="J214" s="75">
        <f t="shared" si="23"/>
        <v>-61701</v>
      </c>
      <c r="K214" s="75">
        <f t="shared" si="24"/>
        <v>38299</v>
      </c>
      <c r="L214" s="109"/>
      <c r="M214" s="110"/>
    </row>
    <row r="215" spans="1:13" ht="13.5" x14ac:dyDescent="0.25">
      <c r="A215" s="868" t="str">
        <f>B5B!A46</f>
        <v>4.4 - Human Resources</v>
      </c>
      <c r="B215" s="865"/>
      <c r="C215" s="389"/>
      <c r="D215" s="109"/>
      <c r="E215" s="109"/>
      <c r="F215" s="109"/>
      <c r="G215" s="109"/>
      <c r="H215" s="109"/>
      <c r="I215" s="109"/>
      <c r="J215" s="75">
        <f t="shared" si="23"/>
        <v>0</v>
      </c>
      <c r="K215" s="75">
        <f t="shared" si="24"/>
        <v>0</v>
      </c>
      <c r="L215" s="109"/>
      <c r="M215" s="110"/>
    </row>
    <row r="216" spans="1:13" ht="13.5" x14ac:dyDescent="0.25">
      <c r="A216" s="868" t="str">
        <f>B5B!A47</f>
        <v>4.5 - Occupational Health &amp; safety</v>
      </c>
      <c r="B216" s="865"/>
      <c r="C216" s="389"/>
      <c r="D216" s="109"/>
      <c r="E216" s="109"/>
      <c r="F216" s="109"/>
      <c r="G216" s="109"/>
      <c r="H216" s="109"/>
      <c r="I216" s="109"/>
      <c r="J216" s="75">
        <f t="shared" si="23"/>
        <v>0</v>
      </c>
      <c r="K216" s="75">
        <f t="shared" si="24"/>
        <v>0</v>
      </c>
      <c r="L216" s="109"/>
      <c r="M216" s="110"/>
    </row>
    <row r="217" spans="1:13" ht="13.5" x14ac:dyDescent="0.25">
      <c r="A217" s="868" t="str">
        <f>B5B!A48</f>
        <v>4.6 - Corporate Services</v>
      </c>
      <c r="B217" s="865"/>
      <c r="C217" s="389"/>
      <c r="D217" s="109"/>
      <c r="E217" s="109"/>
      <c r="F217" s="109"/>
      <c r="G217" s="109"/>
      <c r="H217" s="109"/>
      <c r="I217" s="109"/>
      <c r="J217" s="75">
        <f t="shared" si="23"/>
        <v>0</v>
      </c>
      <c r="K217" s="75">
        <f t="shared" si="24"/>
        <v>0</v>
      </c>
      <c r="L217" s="109"/>
      <c r="M217" s="110"/>
    </row>
    <row r="218" spans="1:13" ht="13.5" x14ac:dyDescent="0.25">
      <c r="A218" s="868" t="str">
        <f>B5B!A49</f>
        <v>4.7 - Council Expenditure</v>
      </c>
      <c r="B218" s="865"/>
      <c r="C218" s="389"/>
      <c r="D218" s="109"/>
      <c r="E218" s="109"/>
      <c r="F218" s="109"/>
      <c r="G218" s="109"/>
      <c r="H218" s="109"/>
      <c r="I218" s="109"/>
      <c r="J218" s="75">
        <f t="shared" si="23"/>
        <v>0</v>
      </c>
      <c r="K218" s="75">
        <f t="shared" si="24"/>
        <v>0</v>
      </c>
      <c r="L218" s="109"/>
      <c r="M218" s="110"/>
    </row>
    <row r="219" spans="1:13" ht="13.5" x14ac:dyDescent="0.25">
      <c r="A219" s="868" t="str">
        <f>B5B!A50</f>
        <v>4.10 - [Name of sub-vote]</v>
      </c>
      <c r="B219" s="865"/>
      <c r="C219" s="389"/>
      <c r="D219" s="109"/>
      <c r="E219" s="109"/>
      <c r="F219" s="109"/>
      <c r="G219" s="109"/>
      <c r="H219" s="109"/>
      <c r="I219" s="109"/>
      <c r="J219" s="75">
        <f t="shared" si="23"/>
        <v>0</v>
      </c>
      <c r="K219" s="75">
        <f t="shared" si="24"/>
        <v>0</v>
      </c>
      <c r="L219" s="109"/>
      <c r="M219" s="110"/>
    </row>
    <row r="220" spans="1:13" ht="13.5" x14ac:dyDescent="0.25">
      <c r="A220" s="868">
        <f>B5B!A51</f>
        <v>0</v>
      </c>
      <c r="B220" s="867"/>
      <c r="C220" s="389"/>
      <c r="D220" s="109"/>
      <c r="E220" s="109"/>
      <c r="F220" s="109"/>
      <c r="G220" s="109"/>
      <c r="H220" s="109"/>
      <c r="I220" s="109"/>
      <c r="J220" s="75">
        <f t="shared" si="23"/>
        <v>0</v>
      </c>
      <c r="K220" s="75">
        <f t="shared" si="24"/>
        <v>0</v>
      </c>
      <c r="L220" s="109"/>
      <c r="M220" s="110"/>
    </row>
    <row r="221" spans="1:13" ht="13.5" x14ac:dyDescent="0.25">
      <c r="A221" s="866" t="str">
        <f>B5B!A52</f>
        <v>Vote 5 - Community Services</v>
      </c>
      <c r="B221" s="865"/>
      <c r="C221" s="744">
        <f t="shared" ref="C221:I221" si="28">SUM(C222:C231)</f>
        <v>400000</v>
      </c>
      <c r="D221" s="743">
        <f t="shared" si="28"/>
        <v>0</v>
      </c>
      <c r="E221" s="743">
        <f t="shared" si="28"/>
        <v>0</v>
      </c>
      <c r="F221" s="743">
        <f t="shared" si="28"/>
        <v>0</v>
      </c>
      <c r="G221" s="743">
        <f t="shared" si="28"/>
        <v>0</v>
      </c>
      <c r="H221" s="743">
        <f t="shared" si="28"/>
        <v>0</v>
      </c>
      <c r="I221" s="743">
        <f t="shared" si="28"/>
        <v>185366</v>
      </c>
      <c r="J221" s="75">
        <f t="shared" si="23"/>
        <v>185366</v>
      </c>
      <c r="K221" s="75">
        <f t="shared" si="24"/>
        <v>585366</v>
      </c>
      <c r="L221" s="743">
        <f>SUM(L222:L231)</f>
        <v>0</v>
      </c>
      <c r="M221" s="771">
        <f>SUM(M222:M231)</f>
        <v>0</v>
      </c>
    </row>
    <row r="222" spans="1:13" ht="13.5" x14ac:dyDescent="0.25">
      <c r="A222" s="868" t="str">
        <f>B5B!A53</f>
        <v>5.1 - Parks &amp; Recreation</v>
      </c>
      <c r="B222" s="865"/>
      <c r="C222" s="389">
        <v>300000</v>
      </c>
      <c r="D222" s="109"/>
      <c r="E222" s="109"/>
      <c r="F222" s="109"/>
      <c r="G222" s="109"/>
      <c r="H222" s="109"/>
      <c r="I222" s="109">
        <f>348000-300000</f>
        <v>48000</v>
      </c>
      <c r="J222" s="75">
        <f t="shared" si="23"/>
        <v>48000</v>
      </c>
      <c r="K222" s="75">
        <f t="shared" si="24"/>
        <v>348000</v>
      </c>
      <c r="L222" s="109"/>
      <c r="M222" s="110"/>
    </row>
    <row r="223" spans="1:13" ht="13.5" x14ac:dyDescent="0.25">
      <c r="A223" s="868" t="str">
        <f>B5B!A54</f>
        <v>5.2 - Administration Community Services</v>
      </c>
      <c r="B223" s="865"/>
      <c r="C223" s="389">
        <v>100000</v>
      </c>
      <c r="D223" s="109"/>
      <c r="E223" s="109"/>
      <c r="F223" s="109"/>
      <c r="G223" s="109"/>
      <c r="H223" s="109"/>
      <c r="I223" s="109">
        <f>7366-100000</f>
        <v>-92634</v>
      </c>
      <c r="J223" s="75">
        <f t="shared" si="23"/>
        <v>-92634</v>
      </c>
      <c r="K223" s="75">
        <f t="shared" si="24"/>
        <v>7366</v>
      </c>
      <c r="L223" s="109"/>
      <c r="M223" s="110"/>
    </row>
    <row r="224" spans="1:13" ht="13.5" x14ac:dyDescent="0.25">
      <c r="A224" s="868" t="str">
        <f>B5B!A55</f>
        <v>5.3 - Community Health Services</v>
      </c>
      <c r="B224" s="865"/>
      <c r="C224" s="389"/>
      <c r="D224" s="109"/>
      <c r="E224" s="109"/>
      <c r="F224" s="109"/>
      <c r="G224" s="109"/>
      <c r="H224" s="109"/>
      <c r="I224" s="109"/>
      <c r="J224" s="75">
        <f t="shared" si="23"/>
        <v>0</v>
      </c>
      <c r="K224" s="75">
        <f t="shared" si="24"/>
        <v>0</v>
      </c>
      <c r="L224" s="109"/>
      <c r="M224" s="110"/>
    </row>
    <row r="225" spans="1:13" ht="13.5" x14ac:dyDescent="0.25">
      <c r="A225" s="868" t="str">
        <f>B5B!A56</f>
        <v>5.4 - Enviromental Health Services</v>
      </c>
      <c r="B225" s="865"/>
      <c r="C225" s="389"/>
      <c r="D225" s="109"/>
      <c r="E225" s="109"/>
      <c r="F225" s="109"/>
      <c r="G225" s="109"/>
      <c r="H225" s="109"/>
      <c r="I225" s="109">
        <v>230000</v>
      </c>
      <c r="J225" s="75">
        <f t="shared" si="23"/>
        <v>230000</v>
      </c>
      <c r="K225" s="75">
        <f t="shared" si="24"/>
        <v>230000</v>
      </c>
      <c r="L225" s="109"/>
      <c r="M225" s="110"/>
    </row>
    <row r="226" spans="1:13" ht="13.5" x14ac:dyDescent="0.25">
      <c r="A226" s="868" t="str">
        <f>B5B!A57</f>
        <v>5.5 - Library Services</v>
      </c>
      <c r="B226" s="865"/>
      <c r="C226" s="389"/>
      <c r="D226" s="109"/>
      <c r="E226" s="109"/>
      <c r="F226" s="109"/>
      <c r="G226" s="109"/>
      <c r="H226" s="109"/>
      <c r="I226" s="109"/>
      <c r="J226" s="75">
        <f t="shared" si="23"/>
        <v>0</v>
      </c>
      <c r="K226" s="75">
        <f t="shared" si="24"/>
        <v>0</v>
      </c>
      <c r="L226" s="109"/>
      <c r="M226" s="110"/>
    </row>
    <row r="227" spans="1:13" ht="13.5" x14ac:dyDescent="0.25">
      <c r="A227" s="868" t="str">
        <f>B5B!A58</f>
        <v>5.6 - Solid Waste</v>
      </c>
      <c r="B227" s="865"/>
      <c r="C227" s="389"/>
      <c r="D227" s="109"/>
      <c r="E227" s="109"/>
      <c r="F227" s="109"/>
      <c r="G227" s="109"/>
      <c r="H227" s="109"/>
      <c r="I227" s="109"/>
      <c r="J227" s="75">
        <f t="shared" si="23"/>
        <v>0</v>
      </c>
      <c r="K227" s="75">
        <f t="shared" si="24"/>
        <v>0</v>
      </c>
      <c r="L227" s="109"/>
      <c r="M227" s="110"/>
    </row>
    <row r="228" spans="1:13" ht="13.5" x14ac:dyDescent="0.25">
      <c r="A228" s="868" t="str">
        <f>B5B!A59</f>
        <v>5.7 - Street Cleansing</v>
      </c>
      <c r="B228" s="865"/>
      <c r="C228" s="389"/>
      <c r="D228" s="109"/>
      <c r="E228" s="109"/>
      <c r="F228" s="109"/>
      <c r="G228" s="109"/>
      <c r="H228" s="109"/>
      <c r="I228" s="109"/>
      <c r="J228" s="75">
        <f t="shared" si="23"/>
        <v>0</v>
      </c>
      <c r="K228" s="75">
        <f t="shared" si="24"/>
        <v>0</v>
      </c>
      <c r="L228" s="109"/>
      <c r="M228" s="110"/>
    </row>
    <row r="229" spans="1:13" ht="13.5" x14ac:dyDescent="0.25">
      <c r="A229" s="868" t="str">
        <f>B5B!A60</f>
        <v>5.8 - Public Toilets</v>
      </c>
      <c r="B229" s="865"/>
      <c r="C229" s="389"/>
      <c r="D229" s="109"/>
      <c r="E229" s="109"/>
      <c r="F229" s="109"/>
      <c r="G229" s="109"/>
      <c r="H229" s="109"/>
      <c r="I229" s="109"/>
      <c r="J229" s="75">
        <f t="shared" si="23"/>
        <v>0</v>
      </c>
      <c r="K229" s="75">
        <f t="shared" si="24"/>
        <v>0</v>
      </c>
      <c r="L229" s="109"/>
      <c r="M229" s="110"/>
    </row>
    <row r="230" spans="1:13" ht="13.5" x14ac:dyDescent="0.25">
      <c r="A230" s="868">
        <f>B5B!A61</f>
        <v>0</v>
      </c>
      <c r="B230" s="865"/>
      <c r="C230" s="389"/>
      <c r="D230" s="109"/>
      <c r="E230" s="109"/>
      <c r="F230" s="109"/>
      <c r="G230" s="109"/>
      <c r="H230" s="109"/>
      <c r="I230" s="109"/>
      <c r="J230" s="75">
        <f t="shared" si="23"/>
        <v>0</v>
      </c>
      <c r="K230" s="75">
        <f t="shared" si="24"/>
        <v>0</v>
      </c>
      <c r="L230" s="109"/>
      <c r="M230" s="110"/>
    </row>
    <row r="231" spans="1:13" ht="13.5" x14ac:dyDescent="0.25">
      <c r="A231" s="868">
        <f>B5B!A62</f>
        <v>0</v>
      </c>
      <c r="B231" s="867"/>
      <c r="C231" s="389"/>
      <c r="D231" s="109"/>
      <c r="E231" s="109"/>
      <c r="F231" s="109"/>
      <c r="G231" s="109"/>
      <c r="H231" s="109"/>
      <c r="I231" s="109"/>
      <c r="J231" s="75">
        <f t="shared" si="23"/>
        <v>0</v>
      </c>
      <c r="K231" s="75">
        <f t="shared" si="24"/>
        <v>0</v>
      </c>
      <c r="L231" s="109"/>
      <c r="M231" s="110"/>
    </row>
    <row r="232" spans="1:13" ht="13.5" x14ac:dyDescent="0.25">
      <c r="A232" s="866" t="str">
        <f>B5B!A63</f>
        <v>Vote 6 - Community Services</v>
      </c>
      <c r="B232" s="865"/>
      <c r="C232" s="744">
        <f t="shared" ref="C232:I232" si="29">SUM(C233:C242)</f>
        <v>0</v>
      </c>
      <c r="D232" s="743">
        <f t="shared" si="29"/>
        <v>0</v>
      </c>
      <c r="E232" s="743">
        <f t="shared" si="29"/>
        <v>0</v>
      </c>
      <c r="F232" s="743">
        <f t="shared" si="29"/>
        <v>0</v>
      </c>
      <c r="G232" s="743">
        <f t="shared" si="29"/>
        <v>0</v>
      </c>
      <c r="H232" s="743">
        <f t="shared" si="29"/>
        <v>0</v>
      </c>
      <c r="I232" s="743">
        <f t="shared" si="29"/>
        <v>0</v>
      </c>
      <c r="J232" s="75">
        <f t="shared" si="23"/>
        <v>0</v>
      </c>
      <c r="K232" s="75">
        <f t="shared" si="24"/>
        <v>0</v>
      </c>
      <c r="L232" s="743">
        <f>SUM(L233:L242)</f>
        <v>0</v>
      </c>
      <c r="M232" s="771">
        <f>SUM(M233:M242)</f>
        <v>0</v>
      </c>
    </row>
    <row r="233" spans="1:13" ht="13.5" x14ac:dyDescent="0.25">
      <c r="A233" s="868" t="str">
        <f>B5B!A64</f>
        <v>6.2 - Administration Transport,safety,Security</v>
      </c>
      <c r="B233" s="865"/>
      <c r="C233" s="389"/>
      <c r="D233" s="109"/>
      <c r="E233" s="109"/>
      <c r="F233" s="109"/>
      <c r="G233" s="109"/>
      <c r="H233" s="109"/>
      <c r="I233" s="109"/>
      <c r="J233" s="75">
        <f t="shared" si="23"/>
        <v>0</v>
      </c>
      <c r="K233" s="75">
        <f t="shared" si="24"/>
        <v>0</v>
      </c>
      <c r="L233" s="109"/>
      <c r="M233" s="110"/>
    </row>
    <row r="234" spans="1:13" ht="13.5" x14ac:dyDescent="0.25">
      <c r="A234" s="868" t="str">
        <f>B5B!A65</f>
        <v>6.3 - Vehicle licencing</v>
      </c>
      <c r="B234" s="865"/>
      <c r="C234" s="389"/>
      <c r="D234" s="109"/>
      <c r="E234" s="109"/>
      <c r="F234" s="109"/>
      <c r="G234" s="109"/>
      <c r="H234" s="109"/>
      <c r="I234" s="109"/>
      <c r="J234" s="75">
        <f t="shared" si="23"/>
        <v>0</v>
      </c>
      <c r="K234" s="75">
        <f t="shared" si="24"/>
        <v>0</v>
      </c>
      <c r="L234" s="109"/>
      <c r="M234" s="110"/>
    </row>
    <row r="235" spans="1:13" ht="13.5" x14ac:dyDescent="0.25">
      <c r="A235" s="868" t="str">
        <f>B5B!A66</f>
        <v>6.1 - Traffic services</v>
      </c>
      <c r="B235" s="865"/>
      <c r="C235" s="389"/>
      <c r="D235" s="109"/>
      <c r="E235" s="109"/>
      <c r="F235" s="109"/>
      <c r="G235" s="109"/>
      <c r="H235" s="109"/>
      <c r="I235" s="109"/>
      <c r="J235" s="75">
        <f t="shared" si="23"/>
        <v>0</v>
      </c>
      <c r="K235" s="75">
        <f t="shared" si="24"/>
        <v>0</v>
      </c>
      <c r="L235" s="109"/>
      <c r="M235" s="110"/>
    </row>
    <row r="236" spans="1:13" ht="13.5" x14ac:dyDescent="0.25">
      <c r="A236" s="868">
        <f>B5B!A67</f>
        <v>0</v>
      </c>
      <c r="B236" s="865"/>
      <c r="C236" s="389"/>
      <c r="D236" s="109"/>
      <c r="E236" s="109"/>
      <c r="F236" s="109"/>
      <c r="G236" s="109"/>
      <c r="H236" s="109"/>
      <c r="I236" s="109"/>
      <c r="J236" s="75">
        <f t="shared" si="23"/>
        <v>0</v>
      </c>
      <c r="K236" s="75">
        <f t="shared" si="24"/>
        <v>0</v>
      </c>
      <c r="L236" s="109"/>
      <c r="M236" s="110"/>
    </row>
    <row r="237" spans="1:13" ht="13.5" x14ac:dyDescent="0.25">
      <c r="A237" s="868">
        <f>B5B!A68</f>
        <v>0</v>
      </c>
      <c r="B237" s="865"/>
      <c r="C237" s="389"/>
      <c r="D237" s="109"/>
      <c r="E237" s="109"/>
      <c r="F237" s="109"/>
      <c r="G237" s="109"/>
      <c r="H237" s="109"/>
      <c r="I237" s="109"/>
      <c r="J237" s="75">
        <f t="shared" si="23"/>
        <v>0</v>
      </c>
      <c r="K237" s="75">
        <f t="shared" si="24"/>
        <v>0</v>
      </c>
      <c r="L237" s="109"/>
      <c r="M237" s="110"/>
    </row>
    <row r="238" spans="1:13" ht="13.5" x14ac:dyDescent="0.25">
      <c r="A238" s="868">
        <f>B5B!A69</f>
        <v>0</v>
      </c>
      <c r="B238" s="865"/>
      <c r="C238" s="389"/>
      <c r="D238" s="109"/>
      <c r="E238" s="109"/>
      <c r="F238" s="109"/>
      <c r="G238" s="109"/>
      <c r="H238" s="109"/>
      <c r="I238" s="109"/>
      <c r="J238" s="75">
        <f t="shared" si="23"/>
        <v>0</v>
      </c>
      <c r="K238" s="75">
        <f t="shared" si="24"/>
        <v>0</v>
      </c>
      <c r="L238" s="109"/>
      <c r="M238" s="110"/>
    </row>
    <row r="239" spans="1:13" ht="13.5" x14ac:dyDescent="0.25">
      <c r="A239" s="868">
        <f>B5B!A70</f>
        <v>0</v>
      </c>
      <c r="B239" s="865"/>
      <c r="C239" s="389"/>
      <c r="D239" s="109"/>
      <c r="E239" s="109"/>
      <c r="F239" s="109"/>
      <c r="G239" s="109"/>
      <c r="H239" s="109"/>
      <c r="I239" s="109"/>
      <c r="J239" s="75">
        <f t="shared" si="23"/>
        <v>0</v>
      </c>
      <c r="K239" s="75">
        <f t="shared" si="24"/>
        <v>0</v>
      </c>
      <c r="L239" s="109"/>
      <c r="M239" s="110"/>
    </row>
    <row r="240" spans="1:13" ht="13.5" x14ac:dyDescent="0.25">
      <c r="A240" s="868">
        <f>B5B!A71</f>
        <v>0</v>
      </c>
      <c r="B240" s="867"/>
      <c r="C240" s="389"/>
      <c r="D240" s="109"/>
      <c r="E240" s="109"/>
      <c r="F240" s="109"/>
      <c r="G240" s="109"/>
      <c r="H240" s="109"/>
      <c r="I240" s="109"/>
      <c r="J240" s="75">
        <f t="shared" si="23"/>
        <v>0</v>
      </c>
      <c r="K240" s="75">
        <f t="shared" si="24"/>
        <v>0</v>
      </c>
      <c r="L240" s="109"/>
      <c r="M240" s="110"/>
    </row>
    <row r="241" spans="1:13" ht="13.5" x14ac:dyDescent="0.25">
      <c r="A241" s="868">
        <f>B5B!A72</f>
        <v>0</v>
      </c>
      <c r="B241" s="865"/>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8">
        <f>B5B!A73</f>
        <v>0</v>
      </c>
      <c r="B242" s="865"/>
      <c r="C242" s="389"/>
      <c r="D242" s="109"/>
      <c r="E242" s="109"/>
      <c r="F242" s="109"/>
      <c r="G242" s="109"/>
      <c r="H242" s="109"/>
      <c r="I242" s="109"/>
      <c r="J242" s="75">
        <f t="shared" si="30"/>
        <v>0</v>
      </c>
      <c r="K242" s="75">
        <f t="shared" si="31"/>
        <v>0</v>
      </c>
      <c r="L242" s="109"/>
      <c r="M242" s="110"/>
    </row>
    <row r="243" spans="1:13" ht="13.5" x14ac:dyDescent="0.25">
      <c r="A243" s="866" t="str">
        <f>B5B!A74</f>
        <v>Vote 7 - Electrical Engineering Services</v>
      </c>
      <c r="B243" s="865"/>
      <c r="C243" s="744">
        <f t="shared" ref="C243:I243" si="32">SUM(C244:C253)</f>
        <v>56600000</v>
      </c>
      <c r="D243" s="743">
        <f t="shared" si="32"/>
        <v>0</v>
      </c>
      <c r="E243" s="743">
        <f t="shared" si="32"/>
        <v>0</v>
      </c>
      <c r="F243" s="743">
        <f t="shared" si="32"/>
        <v>0</v>
      </c>
      <c r="G243" s="743">
        <f t="shared" si="32"/>
        <v>0</v>
      </c>
      <c r="H243" s="743">
        <f t="shared" si="32"/>
        <v>0</v>
      </c>
      <c r="I243" s="743">
        <f t="shared" si="32"/>
        <v>-200000</v>
      </c>
      <c r="J243" s="75">
        <f t="shared" si="30"/>
        <v>-200000</v>
      </c>
      <c r="K243" s="75">
        <f t="shared" si="31"/>
        <v>56400000</v>
      </c>
      <c r="L243" s="743">
        <f>SUM(L244:L253)</f>
        <v>35000000</v>
      </c>
      <c r="M243" s="771">
        <f>SUM(M244:M253)</f>
        <v>45000000</v>
      </c>
    </row>
    <row r="244" spans="1:13" ht="13.5" x14ac:dyDescent="0.25">
      <c r="A244" s="868" t="str">
        <f>B5B!A75</f>
        <v>7.1 - Administration Electrical Engineering</v>
      </c>
      <c r="B244" s="865"/>
      <c r="C244" s="389">
        <v>100000</v>
      </c>
      <c r="D244" s="109"/>
      <c r="E244" s="109"/>
      <c r="F244" s="109"/>
      <c r="G244" s="109"/>
      <c r="H244" s="109"/>
      <c r="I244" s="109">
        <v>-100000</v>
      </c>
      <c r="J244" s="75">
        <f t="shared" si="30"/>
        <v>-100000</v>
      </c>
      <c r="K244" s="75">
        <f t="shared" si="31"/>
        <v>0</v>
      </c>
      <c r="L244" s="109"/>
      <c r="M244" s="110"/>
    </row>
    <row r="245" spans="1:13" ht="13.5" x14ac:dyDescent="0.25">
      <c r="A245" s="868" t="str">
        <f>B5B!A76</f>
        <v>7.2 - Operations &amp; Maintenance: Rural</v>
      </c>
      <c r="B245" s="865"/>
      <c r="C245" s="389">
        <v>9000000</v>
      </c>
      <c r="D245" s="109"/>
      <c r="E245" s="109"/>
      <c r="F245" s="109"/>
      <c r="G245" s="109"/>
      <c r="H245" s="109"/>
      <c r="I245" s="109">
        <v>-100000</v>
      </c>
      <c r="J245" s="75">
        <f t="shared" si="30"/>
        <v>-100000</v>
      </c>
      <c r="K245" s="75">
        <f t="shared" si="31"/>
        <v>8900000</v>
      </c>
      <c r="L245" s="109">
        <v>7500000</v>
      </c>
      <c r="M245" s="110">
        <v>7500000</v>
      </c>
    </row>
    <row r="246" spans="1:13" ht="13.5" x14ac:dyDescent="0.25">
      <c r="A246" s="868" t="str">
        <f>B5B!A77</f>
        <v>7.3 - Operations &amp; Maintenance: Town</v>
      </c>
      <c r="B246" s="865"/>
      <c r="C246" s="389">
        <v>47500000</v>
      </c>
      <c r="D246" s="109"/>
      <c r="E246" s="109"/>
      <c r="F246" s="109"/>
      <c r="G246" s="109"/>
      <c r="H246" s="109"/>
      <c r="I246" s="109"/>
      <c r="J246" s="75">
        <f t="shared" si="30"/>
        <v>0</v>
      </c>
      <c r="K246" s="75">
        <f t="shared" si="31"/>
        <v>47500000</v>
      </c>
      <c r="L246" s="109">
        <f>37500000-10000000</f>
        <v>27500000</v>
      </c>
      <c r="M246" s="110">
        <v>37500000</v>
      </c>
    </row>
    <row r="247" spans="1:13" ht="13.5" x14ac:dyDescent="0.25">
      <c r="A247" s="868">
        <f>B5B!A78</f>
        <v>0</v>
      </c>
      <c r="B247" s="865"/>
      <c r="C247" s="389"/>
      <c r="D247" s="109"/>
      <c r="E247" s="109"/>
      <c r="F247" s="109"/>
      <c r="G247" s="109"/>
      <c r="H247" s="109"/>
      <c r="I247" s="109"/>
      <c r="J247" s="75">
        <f t="shared" si="30"/>
        <v>0</v>
      </c>
      <c r="K247" s="75">
        <f t="shared" si="31"/>
        <v>0</v>
      </c>
      <c r="L247" s="109"/>
      <c r="M247" s="110"/>
    </row>
    <row r="248" spans="1:13" ht="13.5" x14ac:dyDescent="0.25">
      <c r="A248" s="868">
        <f>B5B!A79</f>
        <v>0</v>
      </c>
      <c r="B248" s="865"/>
      <c r="C248" s="389"/>
      <c r="D248" s="109"/>
      <c r="E248" s="109"/>
      <c r="F248" s="109"/>
      <c r="G248" s="109"/>
      <c r="H248" s="109"/>
      <c r="I248" s="109"/>
      <c r="J248" s="75">
        <f t="shared" si="30"/>
        <v>0</v>
      </c>
      <c r="K248" s="75">
        <f t="shared" si="31"/>
        <v>0</v>
      </c>
      <c r="L248" s="109"/>
      <c r="M248" s="110"/>
    </row>
    <row r="249" spans="1:13" ht="13.5" x14ac:dyDescent="0.25">
      <c r="A249" s="868">
        <f>B5B!A80</f>
        <v>0</v>
      </c>
      <c r="B249" s="865"/>
      <c r="C249" s="389"/>
      <c r="D249" s="109"/>
      <c r="E249" s="109"/>
      <c r="F249" s="109"/>
      <c r="G249" s="109"/>
      <c r="H249" s="109"/>
      <c r="I249" s="109"/>
      <c r="J249" s="75">
        <f t="shared" si="30"/>
        <v>0</v>
      </c>
      <c r="K249" s="75">
        <f t="shared" si="31"/>
        <v>0</v>
      </c>
      <c r="L249" s="109"/>
      <c r="M249" s="110"/>
    </row>
    <row r="250" spans="1:13" ht="13.5" x14ac:dyDescent="0.25">
      <c r="A250" s="868">
        <f>B5B!A81</f>
        <v>0</v>
      </c>
      <c r="B250" s="865"/>
      <c r="C250" s="389"/>
      <c r="D250" s="109"/>
      <c r="E250" s="109"/>
      <c r="F250" s="109"/>
      <c r="G250" s="109"/>
      <c r="H250" s="109"/>
      <c r="I250" s="109"/>
      <c r="J250" s="75">
        <f t="shared" si="30"/>
        <v>0</v>
      </c>
      <c r="K250" s="75">
        <f t="shared" si="31"/>
        <v>0</v>
      </c>
      <c r="L250" s="109"/>
      <c r="M250" s="110"/>
    </row>
    <row r="251" spans="1:13" ht="13.5" x14ac:dyDescent="0.25">
      <c r="A251" s="868">
        <f>B5B!A82</f>
        <v>0</v>
      </c>
      <c r="B251" s="865"/>
      <c r="C251" s="389"/>
      <c r="D251" s="109"/>
      <c r="E251" s="109"/>
      <c r="F251" s="109"/>
      <c r="G251" s="109"/>
      <c r="H251" s="109"/>
      <c r="I251" s="109"/>
      <c r="J251" s="75">
        <f t="shared" si="30"/>
        <v>0</v>
      </c>
      <c r="K251" s="75">
        <f t="shared" si="31"/>
        <v>0</v>
      </c>
      <c r="L251" s="109"/>
      <c r="M251" s="110"/>
    </row>
    <row r="252" spans="1:13" ht="13.5" x14ac:dyDescent="0.25">
      <c r="A252" s="868">
        <f>B5B!A83</f>
        <v>0</v>
      </c>
      <c r="B252" s="865"/>
      <c r="C252" s="389"/>
      <c r="D252" s="109"/>
      <c r="E252" s="109"/>
      <c r="F252" s="109"/>
      <c r="G252" s="109"/>
      <c r="H252" s="109"/>
      <c r="I252" s="109"/>
      <c r="J252" s="75">
        <f t="shared" si="30"/>
        <v>0</v>
      </c>
      <c r="K252" s="75">
        <f t="shared" si="31"/>
        <v>0</v>
      </c>
      <c r="L252" s="109"/>
      <c r="M252" s="110"/>
    </row>
    <row r="253" spans="1:13" ht="13.5" x14ac:dyDescent="0.25">
      <c r="A253" s="868">
        <f>B5B!A84</f>
        <v>0</v>
      </c>
      <c r="B253" s="865"/>
      <c r="C253" s="389"/>
      <c r="D253" s="109"/>
      <c r="E253" s="109"/>
      <c r="F253" s="109"/>
      <c r="G253" s="109"/>
      <c r="H253" s="109"/>
      <c r="I253" s="109"/>
      <c r="J253" s="75">
        <f t="shared" si="30"/>
        <v>0</v>
      </c>
      <c r="K253" s="75">
        <f t="shared" si="31"/>
        <v>0</v>
      </c>
      <c r="L253" s="109"/>
      <c r="M253" s="110"/>
    </row>
    <row r="254" spans="1:13" ht="13.5" x14ac:dyDescent="0.25">
      <c r="A254" s="866" t="str">
        <f>B5B!A85</f>
        <v>Vote 8 - Engineering Services</v>
      </c>
      <c r="B254" s="865"/>
      <c r="C254" s="744">
        <f t="shared" ref="C254:I254" si="33">SUM(C255:C264)</f>
        <v>137799250</v>
      </c>
      <c r="D254" s="743">
        <f t="shared" si="33"/>
        <v>0</v>
      </c>
      <c r="E254" s="743">
        <f t="shared" si="33"/>
        <v>0</v>
      </c>
      <c r="F254" s="743">
        <f t="shared" si="33"/>
        <v>0</v>
      </c>
      <c r="G254" s="743">
        <f t="shared" si="33"/>
        <v>0</v>
      </c>
      <c r="H254" s="743">
        <f t="shared" si="33"/>
        <v>0</v>
      </c>
      <c r="I254" s="743">
        <f t="shared" si="33"/>
        <v>-43177677</v>
      </c>
      <c r="J254" s="75">
        <f t="shared" si="30"/>
        <v>-43177677</v>
      </c>
      <c r="K254" s="75">
        <f t="shared" si="31"/>
        <v>94621573</v>
      </c>
      <c r="L254" s="743">
        <f>SUM(L255:L264)</f>
        <v>89549850</v>
      </c>
      <c r="M254" s="771">
        <f>SUM(M255:M264)</f>
        <v>94667500</v>
      </c>
    </row>
    <row r="255" spans="1:13" ht="13.5" x14ac:dyDescent="0.25">
      <c r="A255" s="868" t="str">
        <f>B5B!A86</f>
        <v>8.1 - Fleet Management</v>
      </c>
      <c r="B255" s="865"/>
      <c r="C255" s="389"/>
      <c r="D255" s="109"/>
      <c r="E255" s="109"/>
      <c r="F255" s="109"/>
      <c r="G255" s="109"/>
      <c r="H255" s="109"/>
      <c r="I255" s="109"/>
      <c r="J255" s="75">
        <f t="shared" si="30"/>
        <v>0</v>
      </c>
      <c r="K255" s="75">
        <f t="shared" si="31"/>
        <v>0</v>
      </c>
      <c r="L255" s="109"/>
      <c r="M255" s="110"/>
    </row>
    <row r="256" spans="1:13" ht="13.5" x14ac:dyDescent="0.25">
      <c r="A256" s="868" t="str">
        <f>B5B!A87</f>
        <v>8.2 - Administration Civil Engineering</v>
      </c>
      <c r="B256" s="865"/>
      <c r="C256" s="389">
        <v>100000</v>
      </c>
      <c r="D256" s="109"/>
      <c r="E256" s="109"/>
      <c r="F256" s="109"/>
      <c r="G256" s="109"/>
      <c r="H256" s="109"/>
      <c r="I256" s="109">
        <f>33555-100000</f>
        <v>-66445</v>
      </c>
      <c r="J256" s="75">
        <f t="shared" si="30"/>
        <v>-66445</v>
      </c>
      <c r="K256" s="75">
        <f t="shared" si="31"/>
        <v>33555</v>
      </c>
      <c r="L256" s="109"/>
      <c r="M256" s="110"/>
    </row>
    <row r="257" spans="1:13" ht="13.5" x14ac:dyDescent="0.25">
      <c r="A257" s="868" t="str">
        <f>B5B!A88</f>
        <v>8.3 - Roads &amp; stormwater Management</v>
      </c>
      <c r="B257" s="865"/>
      <c r="C257" s="389">
        <v>30000000</v>
      </c>
      <c r="D257" s="109"/>
      <c r="E257" s="109"/>
      <c r="F257" s="109"/>
      <c r="G257" s="109"/>
      <c r="H257" s="109"/>
      <c r="I257" s="109">
        <f>4388768-30000000</f>
        <v>-25611232</v>
      </c>
      <c r="J257" s="75">
        <f t="shared" si="30"/>
        <v>-25611232</v>
      </c>
      <c r="K257" s="75">
        <f t="shared" si="31"/>
        <v>4388768</v>
      </c>
      <c r="L257" s="109"/>
      <c r="M257" s="110"/>
    </row>
    <row r="258" spans="1:13" ht="13.5" x14ac:dyDescent="0.25">
      <c r="A258" s="868" t="str">
        <f>B5B!A89</f>
        <v>8.4 - Water Networks</v>
      </c>
      <c r="B258" s="865"/>
      <c r="C258" s="389"/>
      <c r="D258" s="109"/>
      <c r="E258" s="109"/>
      <c r="F258" s="109"/>
      <c r="G258" s="109"/>
      <c r="H258" s="109"/>
      <c r="I258" s="109"/>
      <c r="J258" s="75">
        <f t="shared" si="30"/>
        <v>0</v>
      </c>
      <c r="K258" s="75">
        <f t="shared" si="31"/>
        <v>0</v>
      </c>
      <c r="L258" s="109"/>
      <c r="M258" s="110"/>
    </row>
    <row r="259" spans="1:13" ht="13.5" x14ac:dyDescent="0.25">
      <c r="A259" s="868" t="str">
        <f>B5B!A90</f>
        <v>8.5 - Water Purification</v>
      </c>
      <c r="B259" s="865"/>
      <c r="C259" s="389"/>
      <c r="D259" s="109"/>
      <c r="E259" s="109"/>
      <c r="F259" s="109"/>
      <c r="G259" s="109"/>
      <c r="H259" s="109"/>
      <c r="I259" s="109"/>
      <c r="J259" s="75">
        <f t="shared" si="30"/>
        <v>0</v>
      </c>
      <c r="K259" s="75">
        <f t="shared" si="31"/>
        <v>0</v>
      </c>
      <c r="L259" s="109"/>
      <c r="M259" s="110"/>
    </row>
    <row r="260" spans="1:13" ht="13.5" x14ac:dyDescent="0.25">
      <c r="A260" s="868" t="str">
        <f>B5B!A91</f>
        <v>8.6 - Building &amp; Housing</v>
      </c>
      <c r="B260" s="865"/>
      <c r="C260" s="389">
        <v>12506765</v>
      </c>
      <c r="D260" s="109"/>
      <c r="E260" s="109"/>
      <c r="F260" s="109"/>
      <c r="G260" s="109"/>
      <c r="H260" s="109"/>
      <c r="I260" s="109">
        <f>2500000-12506765</f>
        <v>-10006765</v>
      </c>
      <c r="J260" s="75">
        <f t="shared" si="30"/>
        <v>-10006765</v>
      </c>
      <c r="K260" s="75">
        <f t="shared" si="31"/>
        <v>2500000</v>
      </c>
      <c r="L260" s="109"/>
      <c r="M260" s="110"/>
    </row>
    <row r="261" spans="1:13" ht="13.5" x14ac:dyDescent="0.25">
      <c r="A261" s="868" t="str">
        <f>B5B!A92</f>
        <v>8.7 - Project Management</v>
      </c>
      <c r="B261" s="865"/>
      <c r="C261" s="389">
        <v>95192485</v>
      </c>
      <c r="D261" s="109"/>
      <c r="E261" s="109"/>
      <c r="F261" s="109"/>
      <c r="G261" s="109"/>
      <c r="H261" s="109"/>
      <c r="I261" s="109">
        <f>-7493235</f>
        <v>-7493235</v>
      </c>
      <c r="J261" s="75">
        <f t="shared" si="30"/>
        <v>-7493235</v>
      </c>
      <c r="K261" s="75">
        <f t="shared" si="31"/>
        <v>87699250</v>
      </c>
      <c r="L261" s="109">
        <v>89549850</v>
      </c>
      <c r="M261" s="110">
        <v>94667500</v>
      </c>
    </row>
    <row r="262" spans="1:13" ht="13.5" x14ac:dyDescent="0.25">
      <c r="A262" s="868" t="str">
        <f>B5B!A93</f>
        <v>8.8 - Sewerage Purification</v>
      </c>
      <c r="B262" s="865"/>
      <c r="C262" s="389"/>
      <c r="D262" s="109"/>
      <c r="E262" s="109"/>
      <c r="F262" s="109"/>
      <c r="G262" s="109"/>
      <c r="H262" s="109"/>
      <c r="I262" s="109"/>
      <c r="J262" s="75">
        <f t="shared" si="30"/>
        <v>0</v>
      </c>
      <c r="K262" s="75">
        <f t="shared" si="31"/>
        <v>0</v>
      </c>
      <c r="L262" s="109"/>
      <c r="M262" s="110"/>
    </row>
    <row r="263" spans="1:13" ht="13.5" x14ac:dyDescent="0.25">
      <c r="A263" s="868">
        <f>B5B!A94</f>
        <v>0</v>
      </c>
      <c r="B263" s="865"/>
      <c r="C263" s="389"/>
      <c r="D263" s="109"/>
      <c r="E263" s="109"/>
      <c r="F263" s="109"/>
      <c r="G263" s="109"/>
      <c r="H263" s="109"/>
      <c r="I263" s="109"/>
      <c r="J263" s="75">
        <f t="shared" si="30"/>
        <v>0</v>
      </c>
      <c r="K263" s="75">
        <f t="shared" si="31"/>
        <v>0</v>
      </c>
      <c r="L263" s="109"/>
      <c r="M263" s="110"/>
    </row>
    <row r="264" spans="1:13" ht="13.5" x14ac:dyDescent="0.25">
      <c r="A264" s="868">
        <f>B5B!A95</f>
        <v>0</v>
      </c>
      <c r="B264" s="865"/>
      <c r="C264" s="389"/>
      <c r="D264" s="109"/>
      <c r="E264" s="109"/>
      <c r="F264" s="109"/>
      <c r="G264" s="109"/>
      <c r="H264" s="109"/>
      <c r="I264" s="109"/>
      <c r="J264" s="75">
        <f t="shared" si="30"/>
        <v>0</v>
      </c>
      <c r="K264" s="75">
        <f t="shared" si="31"/>
        <v>0</v>
      </c>
      <c r="L264" s="109"/>
      <c r="M264" s="110"/>
    </row>
    <row r="265" spans="1:13" ht="13.5" x14ac:dyDescent="0.25">
      <c r="A265" s="866" t="str">
        <f>B5B!A96</f>
        <v>Vote 9 - [NAME OF VOTE 9]</v>
      </c>
      <c r="B265" s="865"/>
      <c r="C265" s="744">
        <f t="shared" ref="C265:I265" si="34">SUM(C266:C275)</f>
        <v>0</v>
      </c>
      <c r="D265" s="743">
        <f t="shared" si="34"/>
        <v>0</v>
      </c>
      <c r="E265" s="743">
        <f t="shared" si="34"/>
        <v>0</v>
      </c>
      <c r="F265" s="743">
        <f t="shared" si="34"/>
        <v>0</v>
      </c>
      <c r="G265" s="743">
        <f t="shared" si="34"/>
        <v>0</v>
      </c>
      <c r="H265" s="743">
        <f t="shared" si="34"/>
        <v>0</v>
      </c>
      <c r="I265" s="743">
        <f t="shared" si="34"/>
        <v>0</v>
      </c>
      <c r="J265" s="75">
        <f t="shared" si="30"/>
        <v>0</v>
      </c>
      <c r="K265" s="75">
        <f t="shared" si="31"/>
        <v>0</v>
      </c>
      <c r="L265" s="743">
        <f>SUM(L266:L275)</f>
        <v>0</v>
      </c>
      <c r="M265" s="771">
        <f>SUM(M266:M275)</f>
        <v>0</v>
      </c>
    </row>
    <row r="266" spans="1:13" ht="13.5" x14ac:dyDescent="0.25">
      <c r="A266" s="868" t="str">
        <f>B5B!A97</f>
        <v>9.1 - [Name of sub-vote]</v>
      </c>
      <c r="B266" s="865"/>
      <c r="C266" s="389"/>
      <c r="D266" s="109"/>
      <c r="E266" s="109"/>
      <c r="F266" s="109"/>
      <c r="G266" s="109"/>
      <c r="H266" s="109"/>
      <c r="I266" s="109"/>
      <c r="J266" s="75">
        <f t="shared" si="30"/>
        <v>0</v>
      </c>
      <c r="K266" s="75">
        <f t="shared" si="31"/>
        <v>0</v>
      </c>
      <c r="L266" s="109"/>
      <c r="M266" s="110"/>
    </row>
    <row r="267" spans="1:13" ht="13.5" x14ac:dyDescent="0.25">
      <c r="A267" s="868">
        <f>B5B!A98</f>
        <v>0</v>
      </c>
      <c r="B267" s="865"/>
      <c r="C267" s="389"/>
      <c r="D267" s="109"/>
      <c r="E267" s="109"/>
      <c r="F267" s="109"/>
      <c r="G267" s="109"/>
      <c r="H267" s="109"/>
      <c r="I267" s="109"/>
      <c r="J267" s="75">
        <f t="shared" si="30"/>
        <v>0</v>
      </c>
      <c r="K267" s="75">
        <f t="shared" si="31"/>
        <v>0</v>
      </c>
      <c r="L267" s="109"/>
      <c r="M267" s="110"/>
    </row>
    <row r="268" spans="1:13" ht="13.5" x14ac:dyDescent="0.25">
      <c r="A268" s="868">
        <f>B5B!A99</f>
        <v>0</v>
      </c>
      <c r="B268" s="865"/>
      <c r="C268" s="389"/>
      <c r="D268" s="109"/>
      <c r="E268" s="109"/>
      <c r="F268" s="109"/>
      <c r="G268" s="109"/>
      <c r="H268" s="109"/>
      <c r="I268" s="109"/>
      <c r="J268" s="75">
        <f t="shared" si="30"/>
        <v>0</v>
      </c>
      <c r="K268" s="75">
        <f t="shared" si="31"/>
        <v>0</v>
      </c>
      <c r="L268" s="109"/>
      <c r="M268" s="110"/>
    </row>
    <row r="269" spans="1:13" ht="13.5" x14ac:dyDescent="0.25">
      <c r="A269" s="868">
        <f>B5B!A100</f>
        <v>0</v>
      </c>
      <c r="B269" s="865"/>
      <c r="C269" s="389"/>
      <c r="D269" s="109"/>
      <c r="E269" s="109"/>
      <c r="F269" s="109"/>
      <c r="G269" s="109"/>
      <c r="H269" s="109"/>
      <c r="I269" s="109"/>
      <c r="J269" s="75">
        <f t="shared" si="30"/>
        <v>0</v>
      </c>
      <c r="K269" s="75">
        <f t="shared" si="31"/>
        <v>0</v>
      </c>
      <c r="L269" s="109"/>
      <c r="M269" s="110"/>
    </row>
    <row r="270" spans="1:13" ht="13.5" x14ac:dyDescent="0.25">
      <c r="A270" s="868">
        <f>B5B!A101</f>
        <v>0</v>
      </c>
      <c r="B270" s="865"/>
      <c r="C270" s="389"/>
      <c r="D270" s="109"/>
      <c r="E270" s="109"/>
      <c r="F270" s="109"/>
      <c r="G270" s="109"/>
      <c r="H270" s="109"/>
      <c r="I270" s="109"/>
      <c r="J270" s="75">
        <f t="shared" si="30"/>
        <v>0</v>
      </c>
      <c r="K270" s="75">
        <f t="shared" si="31"/>
        <v>0</v>
      </c>
      <c r="L270" s="109"/>
      <c r="M270" s="110"/>
    </row>
    <row r="271" spans="1:13" ht="13.5" x14ac:dyDescent="0.25">
      <c r="A271" s="868">
        <f>B5B!A102</f>
        <v>0</v>
      </c>
      <c r="B271" s="865"/>
      <c r="C271" s="389"/>
      <c r="D271" s="109"/>
      <c r="E271" s="109"/>
      <c r="F271" s="109"/>
      <c r="G271" s="109"/>
      <c r="H271" s="109"/>
      <c r="I271" s="109"/>
      <c r="J271" s="75">
        <f t="shared" si="30"/>
        <v>0</v>
      </c>
      <c r="K271" s="75">
        <f t="shared" si="31"/>
        <v>0</v>
      </c>
      <c r="L271" s="109"/>
      <c r="M271" s="110"/>
    </row>
    <row r="272" spans="1:13" ht="13.5" x14ac:dyDescent="0.25">
      <c r="A272" s="868">
        <f>B5B!A103</f>
        <v>0</v>
      </c>
      <c r="B272" s="865"/>
      <c r="C272" s="389"/>
      <c r="D272" s="109"/>
      <c r="E272" s="109"/>
      <c r="F272" s="109"/>
      <c r="G272" s="109"/>
      <c r="H272" s="109"/>
      <c r="I272" s="109"/>
      <c r="J272" s="75">
        <f t="shared" si="30"/>
        <v>0</v>
      </c>
      <c r="K272" s="75">
        <f t="shared" si="31"/>
        <v>0</v>
      </c>
      <c r="L272" s="109"/>
      <c r="M272" s="110"/>
    </row>
    <row r="273" spans="1:13" ht="13.5" x14ac:dyDescent="0.25">
      <c r="A273" s="868">
        <f>B5B!A104</f>
        <v>0</v>
      </c>
      <c r="B273" s="865"/>
      <c r="C273" s="389"/>
      <c r="D273" s="109"/>
      <c r="E273" s="109"/>
      <c r="F273" s="109"/>
      <c r="G273" s="109"/>
      <c r="H273" s="109"/>
      <c r="I273" s="109"/>
      <c r="J273" s="75">
        <f t="shared" si="30"/>
        <v>0</v>
      </c>
      <c r="K273" s="75">
        <f t="shared" si="31"/>
        <v>0</v>
      </c>
      <c r="L273" s="109"/>
      <c r="M273" s="110"/>
    </row>
    <row r="274" spans="1:13" ht="13.5" x14ac:dyDescent="0.25">
      <c r="A274" s="868">
        <f>B5B!A105</f>
        <v>0</v>
      </c>
      <c r="B274" s="865"/>
      <c r="C274" s="389"/>
      <c r="D274" s="109"/>
      <c r="E274" s="109"/>
      <c r="F274" s="109"/>
      <c r="G274" s="109"/>
      <c r="H274" s="109"/>
      <c r="I274" s="109"/>
      <c r="J274" s="75">
        <f t="shared" si="30"/>
        <v>0</v>
      </c>
      <c r="K274" s="75">
        <f t="shared" si="31"/>
        <v>0</v>
      </c>
      <c r="L274" s="109"/>
      <c r="M274" s="110"/>
    </row>
    <row r="275" spans="1:13" ht="13.5" x14ac:dyDescent="0.25">
      <c r="A275" s="868">
        <f>B5B!A106</f>
        <v>0</v>
      </c>
      <c r="B275" s="865"/>
      <c r="C275" s="389"/>
      <c r="D275" s="109"/>
      <c r="E275" s="109"/>
      <c r="F275" s="109"/>
      <c r="G275" s="109"/>
      <c r="H275" s="109"/>
      <c r="I275" s="109"/>
      <c r="J275" s="75">
        <f t="shared" si="30"/>
        <v>0</v>
      </c>
      <c r="K275" s="75">
        <f t="shared" si="31"/>
        <v>0</v>
      </c>
      <c r="L275" s="109"/>
      <c r="M275" s="110"/>
    </row>
    <row r="276" spans="1:13" ht="13.5" x14ac:dyDescent="0.25">
      <c r="A276" s="866" t="str">
        <f>B5B!A107</f>
        <v>Vote 10 - [NAME OF VOTE 10]</v>
      </c>
      <c r="B276" s="865"/>
      <c r="C276" s="744">
        <f t="shared" ref="C276:I276" si="35">SUM(C277:C286)</f>
        <v>0</v>
      </c>
      <c r="D276" s="743">
        <f t="shared" si="35"/>
        <v>0</v>
      </c>
      <c r="E276" s="743">
        <f t="shared" si="35"/>
        <v>0</v>
      </c>
      <c r="F276" s="743">
        <f t="shared" si="35"/>
        <v>0</v>
      </c>
      <c r="G276" s="743">
        <f t="shared" si="35"/>
        <v>0</v>
      </c>
      <c r="H276" s="743">
        <f t="shared" si="35"/>
        <v>0</v>
      </c>
      <c r="I276" s="743">
        <f t="shared" si="35"/>
        <v>0</v>
      </c>
      <c r="J276" s="75">
        <f t="shared" si="30"/>
        <v>0</v>
      </c>
      <c r="K276" s="75">
        <f t="shared" si="31"/>
        <v>0</v>
      </c>
      <c r="L276" s="743">
        <f>SUM(L277:L286)</f>
        <v>0</v>
      </c>
      <c r="M276" s="771">
        <f>SUM(M277:M286)</f>
        <v>0</v>
      </c>
    </row>
    <row r="277" spans="1:13" ht="13.5" x14ac:dyDescent="0.25">
      <c r="A277" s="868" t="str">
        <f>B5B!A108</f>
        <v>10.1 - [Name of sub-vote]</v>
      </c>
      <c r="B277" s="865"/>
      <c r="C277" s="389"/>
      <c r="D277" s="109"/>
      <c r="E277" s="109"/>
      <c r="F277" s="109"/>
      <c r="G277" s="109"/>
      <c r="H277" s="109"/>
      <c r="I277" s="109"/>
      <c r="J277" s="75">
        <f t="shared" si="30"/>
        <v>0</v>
      </c>
      <c r="K277" s="75">
        <f t="shared" si="31"/>
        <v>0</v>
      </c>
      <c r="L277" s="109"/>
      <c r="M277" s="110"/>
    </row>
    <row r="278" spans="1:13" ht="13.5" x14ac:dyDescent="0.25">
      <c r="A278" s="868">
        <f>B5B!A109</f>
        <v>0</v>
      </c>
      <c r="B278" s="865"/>
      <c r="C278" s="389"/>
      <c r="D278" s="109"/>
      <c r="E278" s="109"/>
      <c r="F278" s="109"/>
      <c r="G278" s="109"/>
      <c r="H278" s="109"/>
      <c r="I278" s="109"/>
      <c r="J278" s="75">
        <f t="shared" si="30"/>
        <v>0</v>
      </c>
      <c r="K278" s="75">
        <f t="shared" si="31"/>
        <v>0</v>
      </c>
      <c r="L278" s="109"/>
      <c r="M278" s="110"/>
    </row>
    <row r="279" spans="1:13" ht="13.5" x14ac:dyDescent="0.25">
      <c r="A279" s="868">
        <f>B5B!A110</f>
        <v>0</v>
      </c>
      <c r="B279" s="865"/>
      <c r="C279" s="389"/>
      <c r="D279" s="109"/>
      <c r="E279" s="109"/>
      <c r="F279" s="109"/>
      <c r="G279" s="109"/>
      <c r="H279" s="109"/>
      <c r="I279" s="109"/>
      <c r="J279" s="75">
        <f t="shared" si="30"/>
        <v>0</v>
      </c>
      <c r="K279" s="75">
        <f t="shared" si="31"/>
        <v>0</v>
      </c>
      <c r="L279" s="109"/>
      <c r="M279" s="110"/>
    </row>
    <row r="280" spans="1:13" ht="13.5" x14ac:dyDescent="0.25">
      <c r="A280" s="868">
        <f>B5B!A111</f>
        <v>0</v>
      </c>
      <c r="B280" s="865"/>
      <c r="C280" s="389"/>
      <c r="D280" s="109"/>
      <c r="E280" s="109"/>
      <c r="F280" s="109"/>
      <c r="G280" s="109"/>
      <c r="H280" s="109"/>
      <c r="I280" s="109"/>
      <c r="J280" s="75">
        <f t="shared" si="30"/>
        <v>0</v>
      </c>
      <c r="K280" s="75">
        <f t="shared" si="31"/>
        <v>0</v>
      </c>
      <c r="L280" s="109"/>
      <c r="M280" s="110"/>
    </row>
    <row r="281" spans="1:13" ht="13.5" x14ac:dyDescent="0.25">
      <c r="A281" s="868">
        <f>B5B!A112</f>
        <v>0</v>
      </c>
      <c r="B281" s="865"/>
      <c r="C281" s="389"/>
      <c r="D281" s="109"/>
      <c r="E281" s="109"/>
      <c r="F281" s="109"/>
      <c r="G281" s="109"/>
      <c r="H281" s="109"/>
      <c r="I281" s="109"/>
      <c r="J281" s="75">
        <f t="shared" si="30"/>
        <v>0</v>
      </c>
      <c r="K281" s="75">
        <f t="shared" si="31"/>
        <v>0</v>
      </c>
      <c r="L281" s="109"/>
      <c r="M281" s="110"/>
    </row>
    <row r="282" spans="1:13" ht="13.5" x14ac:dyDescent="0.25">
      <c r="A282" s="868">
        <f>B5B!A113</f>
        <v>0</v>
      </c>
      <c r="B282" s="865"/>
      <c r="C282" s="389"/>
      <c r="D282" s="109"/>
      <c r="E282" s="109"/>
      <c r="F282" s="109"/>
      <c r="G282" s="109"/>
      <c r="H282" s="109"/>
      <c r="I282" s="109"/>
      <c r="J282" s="75">
        <f t="shared" si="30"/>
        <v>0</v>
      </c>
      <c r="K282" s="75">
        <f t="shared" si="31"/>
        <v>0</v>
      </c>
      <c r="L282" s="109"/>
      <c r="M282" s="110"/>
    </row>
    <row r="283" spans="1:13" ht="13.5" x14ac:dyDescent="0.25">
      <c r="A283" s="868">
        <f>B5B!A114</f>
        <v>0</v>
      </c>
      <c r="B283" s="865"/>
      <c r="C283" s="389"/>
      <c r="D283" s="109"/>
      <c r="E283" s="109"/>
      <c r="F283" s="109"/>
      <c r="G283" s="109"/>
      <c r="H283" s="109"/>
      <c r="I283" s="109"/>
      <c r="J283" s="75">
        <f t="shared" si="30"/>
        <v>0</v>
      </c>
      <c r="K283" s="75">
        <f t="shared" si="31"/>
        <v>0</v>
      </c>
      <c r="L283" s="109"/>
      <c r="M283" s="110"/>
    </row>
    <row r="284" spans="1:13" ht="13.5" x14ac:dyDescent="0.25">
      <c r="A284" s="868">
        <f>B5B!A115</f>
        <v>0</v>
      </c>
      <c r="B284" s="865"/>
      <c r="C284" s="389"/>
      <c r="D284" s="109"/>
      <c r="E284" s="109"/>
      <c r="F284" s="109"/>
      <c r="G284" s="109"/>
      <c r="H284" s="109"/>
      <c r="I284" s="109"/>
      <c r="J284" s="75">
        <f t="shared" si="30"/>
        <v>0</v>
      </c>
      <c r="K284" s="75">
        <f t="shared" si="31"/>
        <v>0</v>
      </c>
      <c r="L284" s="109"/>
      <c r="M284" s="110"/>
    </row>
    <row r="285" spans="1:13" ht="13.5" x14ac:dyDescent="0.25">
      <c r="A285" s="868">
        <f>B5B!A116</f>
        <v>0</v>
      </c>
      <c r="B285" s="865"/>
      <c r="C285" s="389"/>
      <c r="D285" s="109"/>
      <c r="E285" s="109"/>
      <c r="F285" s="109"/>
      <c r="G285" s="109"/>
      <c r="H285" s="109"/>
      <c r="I285" s="109"/>
      <c r="J285" s="75">
        <f t="shared" si="30"/>
        <v>0</v>
      </c>
      <c r="K285" s="75">
        <f t="shared" si="31"/>
        <v>0</v>
      </c>
      <c r="L285" s="109"/>
      <c r="M285" s="110"/>
    </row>
    <row r="286" spans="1:13" ht="13.5" x14ac:dyDescent="0.25">
      <c r="A286" s="868">
        <f>B5B!A117</f>
        <v>0</v>
      </c>
      <c r="B286" s="865"/>
      <c r="C286" s="389"/>
      <c r="D286" s="109"/>
      <c r="E286" s="109"/>
      <c r="F286" s="109"/>
      <c r="G286" s="109"/>
      <c r="H286" s="109"/>
      <c r="I286" s="109"/>
      <c r="J286" s="75">
        <f t="shared" si="30"/>
        <v>0</v>
      </c>
      <c r="K286" s="75">
        <f t="shared" si="31"/>
        <v>0</v>
      </c>
      <c r="L286" s="109"/>
      <c r="M286" s="110"/>
    </row>
    <row r="287" spans="1:13" ht="13.5" x14ac:dyDescent="0.25">
      <c r="A287" s="866" t="str">
        <f>B5B!A118</f>
        <v>Vote 11 - [NAME OF VOTE 11]</v>
      </c>
      <c r="B287" s="865"/>
      <c r="C287" s="744">
        <f t="shared" ref="C287:I287" si="36">SUM(C288:C297)</f>
        <v>0</v>
      </c>
      <c r="D287" s="743">
        <f t="shared" si="36"/>
        <v>0</v>
      </c>
      <c r="E287" s="743">
        <f t="shared" si="36"/>
        <v>0</v>
      </c>
      <c r="F287" s="743">
        <f t="shared" si="36"/>
        <v>0</v>
      </c>
      <c r="G287" s="743">
        <f t="shared" si="36"/>
        <v>0</v>
      </c>
      <c r="H287" s="743">
        <f t="shared" si="36"/>
        <v>0</v>
      </c>
      <c r="I287" s="743">
        <f t="shared" si="36"/>
        <v>0</v>
      </c>
      <c r="J287" s="75">
        <f t="shared" si="30"/>
        <v>0</v>
      </c>
      <c r="K287" s="75">
        <f t="shared" si="31"/>
        <v>0</v>
      </c>
      <c r="L287" s="743">
        <f>SUM(L288:L297)</f>
        <v>0</v>
      </c>
      <c r="M287" s="771">
        <f>SUM(M288:M297)</f>
        <v>0</v>
      </c>
    </row>
    <row r="288" spans="1:13" ht="13.5" x14ac:dyDescent="0.25">
      <c r="A288" s="868" t="str">
        <f>B5B!A119</f>
        <v>11.1 - [Name of sub-vote]</v>
      </c>
      <c r="B288" s="865"/>
      <c r="C288" s="389"/>
      <c r="D288" s="109"/>
      <c r="E288" s="109"/>
      <c r="F288" s="109"/>
      <c r="G288" s="109"/>
      <c r="H288" s="109"/>
      <c r="I288" s="109"/>
      <c r="J288" s="75">
        <f t="shared" si="30"/>
        <v>0</v>
      </c>
      <c r="K288" s="75">
        <f t="shared" si="31"/>
        <v>0</v>
      </c>
      <c r="L288" s="109"/>
      <c r="M288" s="110"/>
    </row>
    <row r="289" spans="1:13" ht="13.5" x14ac:dyDescent="0.25">
      <c r="A289" s="868">
        <f>B5B!A120</f>
        <v>0</v>
      </c>
      <c r="B289" s="865"/>
      <c r="C289" s="389"/>
      <c r="D289" s="109"/>
      <c r="E289" s="109"/>
      <c r="F289" s="109"/>
      <c r="G289" s="109"/>
      <c r="H289" s="109"/>
      <c r="I289" s="109"/>
      <c r="J289" s="75">
        <f t="shared" si="30"/>
        <v>0</v>
      </c>
      <c r="K289" s="75">
        <f t="shared" si="31"/>
        <v>0</v>
      </c>
      <c r="L289" s="109"/>
      <c r="M289" s="110"/>
    </row>
    <row r="290" spans="1:13" ht="13.5" x14ac:dyDescent="0.25">
      <c r="A290" s="868">
        <f>B5B!A121</f>
        <v>0</v>
      </c>
      <c r="B290" s="865"/>
      <c r="C290" s="389"/>
      <c r="D290" s="109"/>
      <c r="E290" s="109"/>
      <c r="F290" s="109"/>
      <c r="G290" s="109"/>
      <c r="H290" s="109"/>
      <c r="I290" s="109"/>
      <c r="J290" s="75">
        <f t="shared" si="30"/>
        <v>0</v>
      </c>
      <c r="K290" s="75">
        <f t="shared" si="31"/>
        <v>0</v>
      </c>
      <c r="L290" s="109"/>
      <c r="M290" s="110"/>
    </row>
    <row r="291" spans="1:13" ht="13.5" x14ac:dyDescent="0.25">
      <c r="A291" s="868">
        <f>B5B!A122</f>
        <v>0</v>
      </c>
      <c r="B291" s="865"/>
      <c r="C291" s="389"/>
      <c r="D291" s="109"/>
      <c r="E291" s="109"/>
      <c r="F291" s="109"/>
      <c r="G291" s="109"/>
      <c r="H291" s="109"/>
      <c r="I291" s="109"/>
      <c r="J291" s="75">
        <f t="shared" si="30"/>
        <v>0</v>
      </c>
      <c r="K291" s="75">
        <f t="shared" si="31"/>
        <v>0</v>
      </c>
      <c r="L291" s="109"/>
      <c r="M291" s="110"/>
    </row>
    <row r="292" spans="1:13" ht="13.5" x14ac:dyDescent="0.25">
      <c r="A292" s="868">
        <f>B5B!A123</f>
        <v>0</v>
      </c>
      <c r="B292" s="865"/>
      <c r="C292" s="389"/>
      <c r="D292" s="109"/>
      <c r="E292" s="109"/>
      <c r="F292" s="109"/>
      <c r="G292" s="109"/>
      <c r="H292" s="109"/>
      <c r="I292" s="109"/>
      <c r="J292" s="75">
        <f t="shared" si="30"/>
        <v>0</v>
      </c>
      <c r="K292" s="75">
        <f t="shared" si="31"/>
        <v>0</v>
      </c>
      <c r="L292" s="109"/>
      <c r="M292" s="110"/>
    </row>
    <row r="293" spans="1:13" ht="13.5" x14ac:dyDescent="0.25">
      <c r="A293" s="868">
        <f>B5B!A124</f>
        <v>0</v>
      </c>
      <c r="B293" s="865"/>
      <c r="C293" s="389"/>
      <c r="D293" s="109"/>
      <c r="E293" s="109"/>
      <c r="F293" s="109"/>
      <c r="G293" s="109"/>
      <c r="H293" s="109"/>
      <c r="I293" s="109"/>
      <c r="J293" s="75">
        <f t="shared" si="30"/>
        <v>0</v>
      </c>
      <c r="K293" s="75">
        <f t="shared" si="31"/>
        <v>0</v>
      </c>
      <c r="L293" s="109"/>
      <c r="M293" s="110"/>
    </row>
    <row r="294" spans="1:13" ht="13.5" x14ac:dyDescent="0.25">
      <c r="A294" s="868">
        <f>B5B!A125</f>
        <v>0</v>
      </c>
      <c r="B294" s="865"/>
      <c r="C294" s="389"/>
      <c r="D294" s="109"/>
      <c r="E294" s="109"/>
      <c r="F294" s="109"/>
      <c r="G294" s="109"/>
      <c r="H294" s="109"/>
      <c r="I294" s="109"/>
      <c r="J294" s="75">
        <f t="shared" si="30"/>
        <v>0</v>
      </c>
      <c r="K294" s="75">
        <f t="shared" si="31"/>
        <v>0</v>
      </c>
      <c r="L294" s="109"/>
      <c r="M294" s="110"/>
    </row>
    <row r="295" spans="1:13" ht="13.5" x14ac:dyDescent="0.25">
      <c r="A295" s="868">
        <f>B5B!A126</f>
        <v>0</v>
      </c>
      <c r="B295" s="865"/>
      <c r="C295" s="389"/>
      <c r="D295" s="109"/>
      <c r="E295" s="109"/>
      <c r="F295" s="109"/>
      <c r="G295" s="109"/>
      <c r="H295" s="109"/>
      <c r="I295" s="109"/>
      <c r="J295" s="75">
        <f t="shared" si="30"/>
        <v>0</v>
      </c>
      <c r="K295" s="75">
        <f t="shared" si="31"/>
        <v>0</v>
      </c>
      <c r="L295" s="109"/>
      <c r="M295" s="110"/>
    </row>
    <row r="296" spans="1:13" ht="13.5" x14ac:dyDescent="0.25">
      <c r="A296" s="868">
        <f>B5B!A127</f>
        <v>0</v>
      </c>
      <c r="B296" s="865"/>
      <c r="C296" s="389"/>
      <c r="D296" s="109"/>
      <c r="E296" s="109"/>
      <c r="F296" s="109"/>
      <c r="G296" s="109"/>
      <c r="H296" s="109"/>
      <c r="I296" s="109"/>
      <c r="J296" s="75">
        <f t="shared" si="30"/>
        <v>0</v>
      </c>
      <c r="K296" s="75">
        <f t="shared" si="31"/>
        <v>0</v>
      </c>
      <c r="L296" s="109"/>
      <c r="M296" s="110"/>
    </row>
    <row r="297" spans="1:13" ht="13.5" x14ac:dyDescent="0.25">
      <c r="A297" s="868">
        <f>B5B!A128</f>
        <v>0</v>
      </c>
      <c r="B297" s="865"/>
      <c r="C297" s="389"/>
      <c r="D297" s="109"/>
      <c r="E297" s="109"/>
      <c r="F297" s="109"/>
      <c r="G297" s="109"/>
      <c r="H297" s="109"/>
      <c r="I297" s="109"/>
      <c r="J297" s="75">
        <f t="shared" si="30"/>
        <v>0</v>
      </c>
      <c r="K297" s="75">
        <f t="shared" si="31"/>
        <v>0</v>
      </c>
      <c r="L297" s="109"/>
      <c r="M297" s="110"/>
    </row>
    <row r="298" spans="1:13" ht="13.5" x14ac:dyDescent="0.25">
      <c r="A298" s="866" t="str">
        <f>B5B!A129</f>
        <v>Vote 12 - [NAME OF VOTE 12]</v>
      </c>
      <c r="B298" s="865"/>
      <c r="C298" s="744">
        <f t="shared" ref="C298:I298" si="37">SUM(C299:C308)</f>
        <v>0</v>
      </c>
      <c r="D298" s="743">
        <f t="shared" si="37"/>
        <v>0</v>
      </c>
      <c r="E298" s="743">
        <f t="shared" si="37"/>
        <v>0</v>
      </c>
      <c r="F298" s="743">
        <f t="shared" si="37"/>
        <v>0</v>
      </c>
      <c r="G298" s="743">
        <f t="shared" si="37"/>
        <v>0</v>
      </c>
      <c r="H298" s="743">
        <f t="shared" si="37"/>
        <v>0</v>
      </c>
      <c r="I298" s="743">
        <f t="shared" si="37"/>
        <v>0</v>
      </c>
      <c r="J298" s="75">
        <f t="shared" si="30"/>
        <v>0</v>
      </c>
      <c r="K298" s="75">
        <f t="shared" si="31"/>
        <v>0</v>
      </c>
      <c r="L298" s="743">
        <f>SUM(L299:L308)</f>
        <v>0</v>
      </c>
      <c r="M298" s="771">
        <f>SUM(M299:M308)</f>
        <v>0</v>
      </c>
    </row>
    <row r="299" spans="1:13" ht="13.5" x14ac:dyDescent="0.25">
      <c r="A299" s="868" t="str">
        <f>B5B!A130</f>
        <v>12.1 - [Name of sub-vote]</v>
      </c>
      <c r="B299" s="865"/>
      <c r="C299" s="389"/>
      <c r="D299" s="109"/>
      <c r="E299" s="109"/>
      <c r="F299" s="109"/>
      <c r="G299" s="109"/>
      <c r="H299" s="109"/>
      <c r="I299" s="109"/>
      <c r="J299" s="75">
        <f t="shared" si="30"/>
        <v>0</v>
      </c>
      <c r="K299" s="75">
        <f t="shared" si="31"/>
        <v>0</v>
      </c>
      <c r="L299" s="109"/>
      <c r="M299" s="110"/>
    </row>
    <row r="300" spans="1:13" ht="13.5" x14ac:dyDescent="0.25">
      <c r="A300" s="868">
        <f>B5B!A131</f>
        <v>0</v>
      </c>
      <c r="B300" s="865"/>
      <c r="C300" s="389"/>
      <c r="D300" s="109"/>
      <c r="E300" s="109"/>
      <c r="F300" s="109"/>
      <c r="G300" s="109"/>
      <c r="H300" s="109"/>
      <c r="I300" s="109"/>
      <c r="J300" s="75">
        <f t="shared" si="30"/>
        <v>0</v>
      </c>
      <c r="K300" s="75">
        <f t="shared" si="31"/>
        <v>0</v>
      </c>
      <c r="L300" s="109"/>
      <c r="M300" s="110"/>
    </row>
    <row r="301" spans="1:13" ht="13.5" x14ac:dyDescent="0.25">
      <c r="A301" s="868">
        <f>B5B!A132</f>
        <v>0</v>
      </c>
      <c r="B301" s="865"/>
      <c r="C301" s="389"/>
      <c r="D301" s="109"/>
      <c r="E301" s="109"/>
      <c r="F301" s="109"/>
      <c r="G301" s="109"/>
      <c r="H301" s="109"/>
      <c r="I301" s="109"/>
      <c r="J301" s="75">
        <f t="shared" si="30"/>
        <v>0</v>
      </c>
      <c r="K301" s="75">
        <f t="shared" si="31"/>
        <v>0</v>
      </c>
      <c r="L301" s="109"/>
      <c r="M301" s="110"/>
    </row>
    <row r="302" spans="1:13" ht="13.5" x14ac:dyDescent="0.25">
      <c r="A302" s="868">
        <f>B5B!A133</f>
        <v>0</v>
      </c>
      <c r="B302" s="865"/>
      <c r="C302" s="389"/>
      <c r="D302" s="109"/>
      <c r="E302" s="109"/>
      <c r="F302" s="109"/>
      <c r="G302" s="109"/>
      <c r="H302" s="109"/>
      <c r="I302" s="109"/>
      <c r="J302" s="75">
        <f t="shared" si="30"/>
        <v>0</v>
      </c>
      <c r="K302" s="75">
        <f t="shared" si="31"/>
        <v>0</v>
      </c>
      <c r="L302" s="109"/>
      <c r="M302" s="110"/>
    </row>
    <row r="303" spans="1:13" ht="13.5" x14ac:dyDescent="0.25">
      <c r="A303" s="868">
        <f>B5B!A134</f>
        <v>0</v>
      </c>
      <c r="B303" s="865"/>
      <c r="C303" s="389"/>
      <c r="D303" s="109"/>
      <c r="E303" s="109"/>
      <c r="F303" s="109"/>
      <c r="G303" s="109"/>
      <c r="H303" s="109"/>
      <c r="I303" s="109"/>
      <c r="J303" s="75">
        <f t="shared" si="30"/>
        <v>0</v>
      </c>
      <c r="K303" s="75">
        <f t="shared" si="31"/>
        <v>0</v>
      </c>
      <c r="L303" s="109"/>
      <c r="M303" s="110"/>
    </row>
    <row r="304" spans="1:13" ht="13.5" x14ac:dyDescent="0.25">
      <c r="A304" s="868">
        <f>B5B!A135</f>
        <v>0</v>
      </c>
      <c r="B304" s="865"/>
      <c r="C304" s="389"/>
      <c r="D304" s="109"/>
      <c r="E304" s="109"/>
      <c r="F304" s="109"/>
      <c r="G304" s="109"/>
      <c r="H304" s="109"/>
      <c r="I304" s="109"/>
      <c r="J304" s="75">
        <f t="shared" si="30"/>
        <v>0</v>
      </c>
      <c r="K304" s="75">
        <f t="shared" si="31"/>
        <v>0</v>
      </c>
      <c r="L304" s="109"/>
      <c r="M304" s="110"/>
    </row>
    <row r="305" spans="1:13" ht="13.5" x14ac:dyDescent="0.25">
      <c r="A305" s="868">
        <f>B5B!A136</f>
        <v>0</v>
      </c>
      <c r="B305" s="865"/>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8">
        <f>B5B!A137</f>
        <v>0</v>
      </c>
      <c r="B306" s="865"/>
      <c r="C306" s="389"/>
      <c r="D306" s="109"/>
      <c r="E306" s="109"/>
      <c r="F306" s="109"/>
      <c r="G306" s="109"/>
      <c r="H306" s="109"/>
      <c r="I306" s="109"/>
      <c r="J306" s="75">
        <f t="shared" si="38"/>
        <v>0</v>
      </c>
      <c r="K306" s="75">
        <f t="shared" si="39"/>
        <v>0</v>
      </c>
      <c r="L306" s="109"/>
      <c r="M306" s="110"/>
    </row>
    <row r="307" spans="1:13" ht="13.5" x14ac:dyDescent="0.25">
      <c r="A307" s="868">
        <f>B5B!A138</f>
        <v>0</v>
      </c>
      <c r="B307" s="865"/>
      <c r="C307" s="389"/>
      <c r="D307" s="109"/>
      <c r="E307" s="109"/>
      <c r="F307" s="109"/>
      <c r="G307" s="109"/>
      <c r="H307" s="109"/>
      <c r="I307" s="109"/>
      <c r="J307" s="75">
        <f t="shared" si="38"/>
        <v>0</v>
      </c>
      <c r="K307" s="75">
        <f t="shared" si="39"/>
        <v>0</v>
      </c>
      <c r="L307" s="109"/>
      <c r="M307" s="110"/>
    </row>
    <row r="308" spans="1:13" ht="13.5" x14ac:dyDescent="0.25">
      <c r="A308" s="868">
        <f>B5B!A139</f>
        <v>0</v>
      </c>
      <c r="B308" s="865"/>
      <c r="C308" s="389"/>
      <c r="D308" s="109"/>
      <c r="E308" s="109"/>
      <c r="F308" s="109"/>
      <c r="G308" s="109"/>
      <c r="H308" s="109"/>
      <c r="I308" s="109"/>
      <c r="J308" s="75">
        <f t="shared" si="38"/>
        <v>0</v>
      </c>
      <c r="K308" s="75">
        <f t="shared" si="39"/>
        <v>0</v>
      </c>
      <c r="L308" s="109"/>
      <c r="M308" s="110"/>
    </row>
    <row r="309" spans="1:13" ht="13.5" x14ac:dyDescent="0.25">
      <c r="A309" s="866" t="str">
        <f>B5B!A140</f>
        <v>Vote 13 - [NAME OF VOTE 13]</v>
      </c>
      <c r="B309" s="865"/>
      <c r="C309" s="744">
        <f t="shared" ref="C309:I309" si="40">SUM(C310:C319)</f>
        <v>0</v>
      </c>
      <c r="D309" s="743">
        <f t="shared" si="40"/>
        <v>0</v>
      </c>
      <c r="E309" s="743">
        <f t="shared" si="40"/>
        <v>0</v>
      </c>
      <c r="F309" s="743">
        <f t="shared" si="40"/>
        <v>0</v>
      </c>
      <c r="G309" s="743">
        <f t="shared" si="40"/>
        <v>0</v>
      </c>
      <c r="H309" s="743">
        <f t="shared" si="40"/>
        <v>0</v>
      </c>
      <c r="I309" s="743">
        <f t="shared" si="40"/>
        <v>0</v>
      </c>
      <c r="J309" s="75">
        <f t="shared" si="38"/>
        <v>0</v>
      </c>
      <c r="K309" s="75">
        <f t="shared" si="39"/>
        <v>0</v>
      </c>
      <c r="L309" s="743">
        <f>SUM(L310:L319)</f>
        <v>0</v>
      </c>
      <c r="M309" s="771">
        <f>SUM(M310:M319)</f>
        <v>0</v>
      </c>
    </row>
    <row r="310" spans="1:13" ht="13.5" x14ac:dyDescent="0.25">
      <c r="A310" s="868" t="str">
        <f>B5B!A141</f>
        <v>13.1 - [Name of sub-vote]</v>
      </c>
      <c r="B310" s="865"/>
      <c r="C310" s="389"/>
      <c r="D310" s="109"/>
      <c r="E310" s="109"/>
      <c r="F310" s="109"/>
      <c r="G310" s="109"/>
      <c r="H310" s="109"/>
      <c r="I310" s="109"/>
      <c r="J310" s="75">
        <f t="shared" si="38"/>
        <v>0</v>
      </c>
      <c r="K310" s="75">
        <f t="shared" si="39"/>
        <v>0</v>
      </c>
      <c r="L310" s="109"/>
      <c r="M310" s="110"/>
    </row>
    <row r="311" spans="1:13" ht="13.5" x14ac:dyDescent="0.25">
      <c r="A311" s="868">
        <f>B5B!A142</f>
        <v>0</v>
      </c>
      <c r="B311" s="865"/>
      <c r="C311" s="389"/>
      <c r="D311" s="109"/>
      <c r="E311" s="109"/>
      <c r="F311" s="109"/>
      <c r="G311" s="109"/>
      <c r="H311" s="109"/>
      <c r="I311" s="109"/>
      <c r="J311" s="75">
        <f t="shared" si="38"/>
        <v>0</v>
      </c>
      <c r="K311" s="75">
        <f t="shared" si="39"/>
        <v>0</v>
      </c>
      <c r="L311" s="109"/>
      <c r="M311" s="110"/>
    </row>
    <row r="312" spans="1:13" ht="13.5" x14ac:dyDescent="0.25">
      <c r="A312" s="868">
        <f>B5B!A143</f>
        <v>0</v>
      </c>
      <c r="B312" s="865"/>
      <c r="C312" s="389"/>
      <c r="D312" s="109"/>
      <c r="E312" s="109"/>
      <c r="F312" s="109"/>
      <c r="G312" s="109"/>
      <c r="H312" s="109"/>
      <c r="I312" s="109"/>
      <c r="J312" s="75">
        <f t="shared" si="38"/>
        <v>0</v>
      </c>
      <c r="K312" s="75">
        <f t="shared" si="39"/>
        <v>0</v>
      </c>
      <c r="L312" s="109"/>
      <c r="M312" s="110"/>
    </row>
    <row r="313" spans="1:13" ht="13.5" x14ac:dyDescent="0.25">
      <c r="A313" s="868">
        <f>B5B!A144</f>
        <v>0</v>
      </c>
      <c r="B313" s="865"/>
      <c r="C313" s="389"/>
      <c r="D313" s="109"/>
      <c r="E313" s="109"/>
      <c r="F313" s="109"/>
      <c r="G313" s="109"/>
      <c r="H313" s="109"/>
      <c r="I313" s="109"/>
      <c r="J313" s="75">
        <f t="shared" si="38"/>
        <v>0</v>
      </c>
      <c r="K313" s="75">
        <f t="shared" si="39"/>
        <v>0</v>
      </c>
      <c r="L313" s="109"/>
      <c r="M313" s="110"/>
    </row>
    <row r="314" spans="1:13" ht="13.5" x14ac:dyDescent="0.25">
      <c r="A314" s="868">
        <f>B5B!A145</f>
        <v>0</v>
      </c>
      <c r="B314" s="865"/>
      <c r="C314" s="389"/>
      <c r="D314" s="109"/>
      <c r="E314" s="109"/>
      <c r="F314" s="109"/>
      <c r="G314" s="109"/>
      <c r="H314" s="109"/>
      <c r="I314" s="109"/>
      <c r="J314" s="75">
        <f t="shared" si="38"/>
        <v>0</v>
      </c>
      <c r="K314" s="75">
        <f t="shared" si="39"/>
        <v>0</v>
      </c>
      <c r="L314" s="109"/>
      <c r="M314" s="110"/>
    </row>
    <row r="315" spans="1:13" ht="13.5" x14ac:dyDescent="0.25">
      <c r="A315" s="868">
        <f>B5B!A146</f>
        <v>0</v>
      </c>
      <c r="B315" s="865"/>
      <c r="C315" s="389"/>
      <c r="D315" s="109"/>
      <c r="E315" s="109"/>
      <c r="F315" s="109"/>
      <c r="G315" s="109"/>
      <c r="H315" s="109"/>
      <c r="I315" s="109"/>
      <c r="J315" s="75">
        <f t="shared" si="38"/>
        <v>0</v>
      </c>
      <c r="K315" s="75">
        <f t="shared" si="39"/>
        <v>0</v>
      </c>
      <c r="L315" s="109"/>
      <c r="M315" s="110"/>
    </row>
    <row r="316" spans="1:13" ht="13.5" x14ac:dyDescent="0.25">
      <c r="A316" s="868">
        <f>B5B!A147</f>
        <v>0</v>
      </c>
      <c r="B316" s="865"/>
      <c r="C316" s="389"/>
      <c r="D316" s="109"/>
      <c r="E316" s="109"/>
      <c r="F316" s="109"/>
      <c r="G316" s="109"/>
      <c r="H316" s="109"/>
      <c r="I316" s="109"/>
      <c r="J316" s="75">
        <f t="shared" si="38"/>
        <v>0</v>
      </c>
      <c r="K316" s="75">
        <f t="shared" si="39"/>
        <v>0</v>
      </c>
      <c r="L316" s="109"/>
      <c r="M316" s="110"/>
    </row>
    <row r="317" spans="1:13" ht="13.5" x14ac:dyDescent="0.25">
      <c r="A317" s="868">
        <f>B5B!A148</f>
        <v>0</v>
      </c>
      <c r="B317" s="865"/>
      <c r="C317" s="389"/>
      <c r="D317" s="109"/>
      <c r="E317" s="109"/>
      <c r="F317" s="109"/>
      <c r="G317" s="109"/>
      <c r="H317" s="109"/>
      <c r="I317" s="109"/>
      <c r="J317" s="75">
        <f t="shared" si="38"/>
        <v>0</v>
      </c>
      <c r="K317" s="75">
        <f t="shared" si="39"/>
        <v>0</v>
      </c>
      <c r="L317" s="109"/>
      <c r="M317" s="110"/>
    </row>
    <row r="318" spans="1:13" ht="13.5" x14ac:dyDescent="0.25">
      <c r="A318" s="868">
        <f>B5B!A149</f>
        <v>0</v>
      </c>
      <c r="B318" s="865"/>
      <c r="C318" s="389"/>
      <c r="D318" s="109"/>
      <c r="E318" s="109"/>
      <c r="F318" s="109"/>
      <c r="G318" s="109"/>
      <c r="H318" s="109"/>
      <c r="I318" s="109"/>
      <c r="J318" s="75">
        <f t="shared" si="38"/>
        <v>0</v>
      </c>
      <c r="K318" s="75">
        <f t="shared" si="39"/>
        <v>0</v>
      </c>
      <c r="L318" s="109"/>
      <c r="M318" s="110"/>
    </row>
    <row r="319" spans="1:13" ht="13.5" x14ac:dyDescent="0.25">
      <c r="A319" s="868">
        <f>B5B!A150</f>
        <v>0</v>
      </c>
      <c r="B319" s="865"/>
      <c r="C319" s="389"/>
      <c r="D319" s="109"/>
      <c r="E319" s="109"/>
      <c r="F319" s="109"/>
      <c r="G319" s="109"/>
      <c r="H319" s="109"/>
      <c r="I319" s="109"/>
      <c r="J319" s="75">
        <f t="shared" si="38"/>
        <v>0</v>
      </c>
      <c r="K319" s="75">
        <f t="shared" si="39"/>
        <v>0</v>
      </c>
      <c r="L319" s="109"/>
      <c r="M319" s="110"/>
    </row>
    <row r="320" spans="1:13" ht="13.5" x14ac:dyDescent="0.25">
      <c r="A320" s="866" t="str">
        <f>B5B!A151</f>
        <v>Vote 14 - [NAME OF VOTE 14]</v>
      </c>
      <c r="B320" s="865"/>
      <c r="C320" s="744">
        <f t="shared" ref="C320:I320" si="41">SUM(C321:C330)</f>
        <v>0</v>
      </c>
      <c r="D320" s="743">
        <f t="shared" si="41"/>
        <v>0</v>
      </c>
      <c r="E320" s="743">
        <f t="shared" si="41"/>
        <v>0</v>
      </c>
      <c r="F320" s="743">
        <f t="shared" si="41"/>
        <v>0</v>
      </c>
      <c r="G320" s="743">
        <f t="shared" si="41"/>
        <v>0</v>
      </c>
      <c r="H320" s="743">
        <f t="shared" si="41"/>
        <v>0</v>
      </c>
      <c r="I320" s="743">
        <f t="shared" si="41"/>
        <v>0</v>
      </c>
      <c r="J320" s="75">
        <f t="shared" si="38"/>
        <v>0</v>
      </c>
      <c r="K320" s="75">
        <f t="shared" si="39"/>
        <v>0</v>
      </c>
      <c r="L320" s="743">
        <f>SUM(L321:L330)</f>
        <v>0</v>
      </c>
      <c r="M320" s="771">
        <f>SUM(M321:M330)</f>
        <v>0</v>
      </c>
    </row>
    <row r="321" spans="1:13" ht="13.5" x14ac:dyDescent="0.25">
      <c r="A321" s="868" t="str">
        <f>B5B!A152</f>
        <v>14.1 - [Name of sub-vote]</v>
      </c>
      <c r="B321" s="865"/>
      <c r="C321" s="389"/>
      <c r="D321" s="109"/>
      <c r="E321" s="109"/>
      <c r="F321" s="109"/>
      <c r="G321" s="109"/>
      <c r="H321" s="109"/>
      <c r="I321" s="109"/>
      <c r="J321" s="75">
        <f t="shared" si="38"/>
        <v>0</v>
      </c>
      <c r="K321" s="75">
        <f t="shared" si="39"/>
        <v>0</v>
      </c>
      <c r="L321" s="109"/>
      <c r="M321" s="110"/>
    </row>
    <row r="322" spans="1:13" ht="13.5" x14ac:dyDescent="0.25">
      <c r="A322" s="868">
        <f>B5B!A153</f>
        <v>0</v>
      </c>
      <c r="B322" s="865"/>
      <c r="C322" s="389"/>
      <c r="D322" s="109"/>
      <c r="E322" s="109"/>
      <c r="F322" s="109"/>
      <c r="G322" s="109"/>
      <c r="H322" s="109"/>
      <c r="I322" s="109"/>
      <c r="J322" s="75">
        <f t="shared" si="38"/>
        <v>0</v>
      </c>
      <c r="K322" s="75">
        <f t="shared" si="39"/>
        <v>0</v>
      </c>
      <c r="L322" s="109"/>
      <c r="M322" s="110"/>
    </row>
    <row r="323" spans="1:13" ht="13.5" x14ac:dyDescent="0.25">
      <c r="A323" s="868">
        <f>B5B!A154</f>
        <v>0</v>
      </c>
      <c r="B323" s="865"/>
      <c r="C323" s="389"/>
      <c r="D323" s="109"/>
      <c r="E323" s="109"/>
      <c r="F323" s="109"/>
      <c r="G323" s="109"/>
      <c r="H323" s="109"/>
      <c r="I323" s="109"/>
      <c r="J323" s="75">
        <f t="shared" si="38"/>
        <v>0</v>
      </c>
      <c r="K323" s="75">
        <f t="shared" si="39"/>
        <v>0</v>
      </c>
      <c r="L323" s="109"/>
      <c r="M323" s="110"/>
    </row>
    <row r="324" spans="1:13" ht="13.5" x14ac:dyDescent="0.25">
      <c r="A324" s="868">
        <f>B5B!A155</f>
        <v>0</v>
      </c>
      <c r="B324" s="865"/>
      <c r="C324" s="389"/>
      <c r="D324" s="109"/>
      <c r="E324" s="109"/>
      <c r="F324" s="109"/>
      <c r="G324" s="109"/>
      <c r="H324" s="109"/>
      <c r="I324" s="109"/>
      <c r="J324" s="75">
        <f t="shared" si="38"/>
        <v>0</v>
      </c>
      <c r="K324" s="75">
        <f t="shared" si="39"/>
        <v>0</v>
      </c>
      <c r="L324" s="109"/>
      <c r="M324" s="110"/>
    </row>
    <row r="325" spans="1:13" ht="13.5" x14ac:dyDescent="0.25">
      <c r="A325" s="868">
        <f>B5B!A156</f>
        <v>0</v>
      </c>
      <c r="B325" s="865"/>
      <c r="C325" s="389"/>
      <c r="D325" s="109"/>
      <c r="E325" s="109"/>
      <c r="F325" s="109"/>
      <c r="G325" s="109"/>
      <c r="H325" s="109"/>
      <c r="I325" s="109"/>
      <c r="J325" s="75">
        <f t="shared" si="38"/>
        <v>0</v>
      </c>
      <c r="K325" s="75">
        <f t="shared" si="39"/>
        <v>0</v>
      </c>
      <c r="L325" s="109"/>
      <c r="M325" s="110"/>
    </row>
    <row r="326" spans="1:13" ht="13.5" x14ac:dyDescent="0.25">
      <c r="A326" s="868">
        <f>B5B!A157</f>
        <v>0</v>
      </c>
      <c r="B326" s="865"/>
      <c r="C326" s="389"/>
      <c r="D326" s="109"/>
      <c r="E326" s="109"/>
      <c r="F326" s="109"/>
      <c r="G326" s="109"/>
      <c r="H326" s="109"/>
      <c r="I326" s="109"/>
      <c r="J326" s="75">
        <f t="shared" si="38"/>
        <v>0</v>
      </c>
      <c r="K326" s="75">
        <f t="shared" si="39"/>
        <v>0</v>
      </c>
      <c r="L326" s="109"/>
      <c r="M326" s="110"/>
    </row>
    <row r="327" spans="1:13" ht="13.5" x14ac:dyDescent="0.25">
      <c r="A327" s="868">
        <f>B5B!A158</f>
        <v>0</v>
      </c>
      <c r="B327" s="865"/>
      <c r="C327" s="389"/>
      <c r="D327" s="109"/>
      <c r="E327" s="109"/>
      <c r="F327" s="109"/>
      <c r="G327" s="109"/>
      <c r="H327" s="109"/>
      <c r="I327" s="109"/>
      <c r="J327" s="75">
        <f t="shared" si="38"/>
        <v>0</v>
      </c>
      <c r="K327" s="75">
        <f t="shared" si="39"/>
        <v>0</v>
      </c>
      <c r="L327" s="109"/>
      <c r="M327" s="110"/>
    </row>
    <row r="328" spans="1:13" ht="13.5" x14ac:dyDescent="0.25">
      <c r="A328" s="868">
        <f>B5B!A159</f>
        <v>0</v>
      </c>
      <c r="B328" s="865"/>
      <c r="C328" s="389"/>
      <c r="D328" s="109"/>
      <c r="E328" s="109"/>
      <c r="F328" s="109"/>
      <c r="G328" s="109"/>
      <c r="H328" s="109"/>
      <c r="I328" s="109"/>
      <c r="J328" s="75">
        <f t="shared" si="38"/>
        <v>0</v>
      </c>
      <c r="K328" s="75">
        <f t="shared" si="39"/>
        <v>0</v>
      </c>
      <c r="L328" s="109"/>
      <c r="M328" s="110"/>
    </row>
    <row r="329" spans="1:13" ht="13.5" x14ac:dyDescent="0.25">
      <c r="A329" s="868">
        <f>B5B!A160</f>
        <v>0</v>
      </c>
      <c r="B329" s="865"/>
      <c r="C329" s="389"/>
      <c r="D329" s="109"/>
      <c r="E329" s="109"/>
      <c r="F329" s="109"/>
      <c r="G329" s="109"/>
      <c r="H329" s="109"/>
      <c r="I329" s="109"/>
      <c r="J329" s="75">
        <f t="shared" si="38"/>
        <v>0</v>
      </c>
      <c r="K329" s="75">
        <f t="shared" si="39"/>
        <v>0</v>
      </c>
      <c r="L329" s="109"/>
      <c r="M329" s="110"/>
    </row>
    <row r="330" spans="1:13" ht="13.5" x14ac:dyDescent="0.25">
      <c r="A330" s="868">
        <f>B5B!A161</f>
        <v>0</v>
      </c>
      <c r="B330" s="865"/>
      <c r="C330" s="389"/>
      <c r="D330" s="109"/>
      <c r="E330" s="109"/>
      <c r="F330" s="109"/>
      <c r="G330" s="109"/>
      <c r="H330" s="109"/>
      <c r="I330" s="109"/>
      <c r="J330" s="75">
        <f t="shared" si="38"/>
        <v>0</v>
      </c>
      <c r="K330" s="75">
        <f t="shared" si="39"/>
        <v>0</v>
      </c>
      <c r="L330" s="109"/>
      <c r="M330" s="110"/>
    </row>
    <row r="331" spans="1:13" ht="13.5" x14ac:dyDescent="0.25">
      <c r="A331" s="866" t="str">
        <f>B5B!A162</f>
        <v>Vote 15 - [NAME OF VOTE 15]</v>
      </c>
      <c r="B331" s="865"/>
      <c r="C331" s="744">
        <f t="shared" ref="C331:I331" si="42">SUM(C332:C341)</f>
        <v>0</v>
      </c>
      <c r="D331" s="743">
        <f t="shared" si="42"/>
        <v>0</v>
      </c>
      <c r="E331" s="743">
        <f t="shared" si="42"/>
        <v>0</v>
      </c>
      <c r="F331" s="743">
        <f t="shared" si="42"/>
        <v>0</v>
      </c>
      <c r="G331" s="743">
        <f t="shared" si="42"/>
        <v>0</v>
      </c>
      <c r="H331" s="743">
        <f t="shared" si="42"/>
        <v>0</v>
      </c>
      <c r="I331" s="743">
        <f t="shared" si="42"/>
        <v>0</v>
      </c>
      <c r="J331" s="75">
        <f t="shared" si="38"/>
        <v>0</v>
      </c>
      <c r="K331" s="75">
        <f t="shared" si="39"/>
        <v>0</v>
      </c>
      <c r="L331" s="743">
        <f>SUM(L332:L341)</f>
        <v>0</v>
      </c>
      <c r="M331" s="771">
        <f>SUM(M332:M341)</f>
        <v>0</v>
      </c>
    </row>
    <row r="332" spans="1:13" ht="13.5" x14ac:dyDescent="0.25">
      <c r="A332" s="868" t="str">
        <f>B5B!A163</f>
        <v>15.1 - [Name of sub-vote]</v>
      </c>
      <c r="B332" s="865"/>
      <c r="C332" s="389"/>
      <c r="D332" s="109"/>
      <c r="E332" s="109"/>
      <c r="F332" s="109"/>
      <c r="G332" s="109"/>
      <c r="H332" s="109"/>
      <c r="I332" s="109"/>
      <c r="J332" s="75">
        <f t="shared" si="38"/>
        <v>0</v>
      </c>
      <c r="K332" s="75">
        <f t="shared" si="39"/>
        <v>0</v>
      </c>
      <c r="L332" s="109"/>
      <c r="M332" s="110"/>
    </row>
    <row r="333" spans="1:13" ht="13.5" x14ac:dyDescent="0.25">
      <c r="A333" s="868">
        <f>B5B!A164</f>
        <v>0</v>
      </c>
      <c r="B333" s="865"/>
      <c r="C333" s="389"/>
      <c r="D333" s="109"/>
      <c r="E333" s="109"/>
      <c r="F333" s="109"/>
      <c r="G333" s="109"/>
      <c r="H333" s="109"/>
      <c r="I333" s="109"/>
      <c r="J333" s="75">
        <f t="shared" si="38"/>
        <v>0</v>
      </c>
      <c r="K333" s="75">
        <f t="shared" si="39"/>
        <v>0</v>
      </c>
      <c r="L333" s="109"/>
      <c r="M333" s="110"/>
    </row>
    <row r="334" spans="1:13" ht="13.5" x14ac:dyDescent="0.25">
      <c r="A334" s="868">
        <f>B5B!A165</f>
        <v>0</v>
      </c>
      <c r="B334" s="865"/>
      <c r="C334" s="389"/>
      <c r="D334" s="109"/>
      <c r="E334" s="109"/>
      <c r="F334" s="109"/>
      <c r="G334" s="109"/>
      <c r="H334" s="109"/>
      <c r="I334" s="109"/>
      <c r="J334" s="75">
        <f t="shared" si="38"/>
        <v>0</v>
      </c>
      <c r="K334" s="75">
        <f t="shared" si="39"/>
        <v>0</v>
      </c>
      <c r="L334" s="109"/>
      <c r="M334" s="110"/>
    </row>
    <row r="335" spans="1:13" ht="13.5" x14ac:dyDescent="0.25">
      <c r="A335" s="868">
        <f>B5B!A166</f>
        <v>0</v>
      </c>
      <c r="B335" s="865"/>
      <c r="C335" s="389"/>
      <c r="D335" s="109"/>
      <c r="E335" s="109"/>
      <c r="F335" s="109"/>
      <c r="G335" s="109"/>
      <c r="H335" s="109"/>
      <c r="I335" s="109"/>
      <c r="J335" s="75">
        <f t="shared" si="38"/>
        <v>0</v>
      </c>
      <c r="K335" s="75">
        <f t="shared" si="39"/>
        <v>0</v>
      </c>
      <c r="L335" s="109"/>
      <c r="M335" s="110"/>
    </row>
    <row r="336" spans="1:13" ht="13.5" x14ac:dyDescent="0.25">
      <c r="A336" s="868">
        <f>B5B!A167</f>
        <v>0</v>
      </c>
      <c r="B336" s="865"/>
      <c r="C336" s="389"/>
      <c r="D336" s="109"/>
      <c r="E336" s="109"/>
      <c r="F336" s="109"/>
      <c r="G336" s="109"/>
      <c r="H336" s="109"/>
      <c r="I336" s="109"/>
      <c r="J336" s="75">
        <f t="shared" si="38"/>
        <v>0</v>
      </c>
      <c r="K336" s="75">
        <f t="shared" si="39"/>
        <v>0</v>
      </c>
      <c r="L336" s="109"/>
      <c r="M336" s="110"/>
    </row>
    <row r="337" spans="1:13" ht="13.5" x14ac:dyDescent="0.25">
      <c r="A337" s="868">
        <f>B5B!A168</f>
        <v>0</v>
      </c>
      <c r="B337" s="865"/>
      <c r="C337" s="389"/>
      <c r="D337" s="109"/>
      <c r="E337" s="109"/>
      <c r="F337" s="109"/>
      <c r="G337" s="109"/>
      <c r="H337" s="109"/>
      <c r="I337" s="109"/>
      <c r="J337" s="75">
        <f t="shared" si="38"/>
        <v>0</v>
      </c>
      <c r="K337" s="75">
        <f t="shared" si="39"/>
        <v>0</v>
      </c>
      <c r="L337" s="109"/>
      <c r="M337" s="110"/>
    </row>
    <row r="338" spans="1:13" ht="13.5" x14ac:dyDescent="0.25">
      <c r="A338" s="868">
        <f>B5B!A169</f>
        <v>0</v>
      </c>
      <c r="B338" s="865"/>
      <c r="C338" s="389"/>
      <c r="D338" s="109"/>
      <c r="E338" s="109"/>
      <c r="F338" s="109"/>
      <c r="G338" s="109"/>
      <c r="H338" s="109"/>
      <c r="I338" s="109"/>
      <c r="J338" s="75">
        <f t="shared" si="38"/>
        <v>0</v>
      </c>
      <c r="K338" s="75">
        <f t="shared" si="39"/>
        <v>0</v>
      </c>
      <c r="L338" s="109"/>
      <c r="M338" s="110"/>
    </row>
    <row r="339" spans="1:13" ht="13.5" x14ac:dyDescent="0.25">
      <c r="A339" s="868">
        <f>B5B!A170</f>
        <v>0</v>
      </c>
      <c r="B339" s="865"/>
      <c r="C339" s="389"/>
      <c r="D339" s="109"/>
      <c r="E339" s="109"/>
      <c r="F339" s="109"/>
      <c r="G339" s="109"/>
      <c r="H339" s="109"/>
      <c r="I339" s="109"/>
      <c r="J339" s="75">
        <f t="shared" si="38"/>
        <v>0</v>
      </c>
      <c r="K339" s="75">
        <f t="shared" si="39"/>
        <v>0</v>
      </c>
      <c r="L339" s="109"/>
      <c r="M339" s="110"/>
    </row>
    <row r="340" spans="1:13" ht="13.5" x14ac:dyDescent="0.25">
      <c r="A340" s="868">
        <f>B5B!A171</f>
        <v>0</v>
      </c>
      <c r="B340" s="865"/>
      <c r="C340" s="389"/>
      <c r="D340" s="109"/>
      <c r="E340" s="109"/>
      <c r="F340" s="109"/>
      <c r="G340" s="109"/>
      <c r="H340" s="109"/>
      <c r="I340" s="109"/>
      <c r="J340" s="75">
        <f t="shared" si="38"/>
        <v>0</v>
      </c>
      <c r="K340" s="75">
        <f t="shared" si="39"/>
        <v>0</v>
      </c>
      <c r="L340" s="109"/>
      <c r="M340" s="110"/>
    </row>
    <row r="341" spans="1:13" ht="13.5" x14ac:dyDescent="0.25">
      <c r="A341" s="868">
        <f>B5B!A172</f>
        <v>0</v>
      </c>
      <c r="B341" s="865"/>
      <c r="C341" s="389"/>
      <c r="D341" s="109"/>
      <c r="E341" s="109"/>
      <c r="F341" s="109"/>
      <c r="G341" s="109"/>
      <c r="H341" s="109"/>
      <c r="I341" s="109"/>
      <c r="J341" s="75">
        <f t="shared" si="38"/>
        <v>0</v>
      </c>
      <c r="K341" s="75">
        <f t="shared" si="39"/>
        <v>0</v>
      </c>
      <c r="L341" s="109"/>
      <c r="M341" s="110"/>
    </row>
    <row r="342" spans="1:13" ht="11.25" customHeight="1" x14ac:dyDescent="0.25">
      <c r="A342" s="866" t="s">
        <v>668</v>
      </c>
      <c r="B342" s="865"/>
      <c r="C342" s="303">
        <f>C177+C188+C199+C210+C221+C232+C243+C254+C265+C287+C298+C309+C320+C331+C276</f>
        <v>195199250</v>
      </c>
      <c r="D342" s="151">
        <f t="shared" ref="D342:I342" si="43">D177+D188+D199+D210+D221+D232+D243+D254+D265+D287+D298+D309+D320+D331+D276</f>
        <v>0</v>
      </c>
      <c r="E342" s="151">
        <f t="shared" si="43"/>
        <v>0</v>
      </c>
      <c r="F342" s="151">
        <f t="shared" si="43"/>
        <v>0</v>
      </c>
      <c r="G342" s="151">
        <f t="shared" si="43"/>
        <v>0</v>
      </c>
      <c r="H342" s="151">
        <f t="shared" si="43"/>
        <v>0</v>
      </c>
      <c r="I342" s="151">
        <f t="shared" si="43"/>
        <v>-41481232</v>
      </c>
      <c r="J342" s="487">
        <f t="shared" si="38"/>
        <v>-41481232</v>
      </c>
      <c r="K342" s="487">
        <f t="shared" si="39"/>
        <v>153718018</v>
      </c>
      <c r="L342" s="151">
        <f>L177+L188+L199+L210+L221+L232+L243+L254+L265+L287+L298+L309+L320+L331+L276</f>
        <v>124549850</v>
      </c>
      <c r="M342" s="152">
        <f>M177+M188+M199+M210+M221+M232+M243+M254+M265+M287+M298+M309+M320+M331+M276</f>
        <v>139667500</v>
      </c>
    </row>
    <row r="343" spans="1:13" ht="14.25" customHeight="1" x14ac:dyDescent="0.25">
      <c r="A343" s="874" t="s">
        <v>473</v>
      </c>
      <c r="B343" s="875"/>
      <c r="C343" s="782">
        <f>C342+C173</f>
        <v>195199250</v>
      </c>
      <c r="D343" s="783">
        <f t="shared" ref="D343:I343" si="44">D342+D173</f>
        <v>0</v>
      </c>
      <c r="E343" s="783">
        <f t="shared" si="44"/>
        <v>0</v>
      </c>
      <c r="F343" s="783">
        <f t="shared" si="44"/>
        <v>0</v>
      </c>
      <c r="G343" s="783">
        <f t="shared" si="44"/>
        <v>0</v>
      </c>
      <c r="H343" s="783">
        <f t="shared" si="44"/>
        <v>0</v>
      </c>
      <c r="I343" s="783">
        <f t="shared" si="44"/>
        <v>-41481232</v>
      </c>
      <c r="J343" s="784">
        <f>SUM(E343:I343)</f>
        <v>-41481232</v>
      </c>
      <c r="K343" s="784">
        <f>IF(D343=0,C343+J343,D343+J343)</f>
        <v>153718018</v>
      </c>
      <c r="L343" s="783">
        <f>L342+L173</f>
        <v>124549850</v>
      </c>
      <c r="M343" s="785">
        <f>M342+M173</f>
        <v>139667500</v>
      </c>
    </row>
    <row r="344" spans="1:13" ht="13.5" x14ac:dyDescent="0.25">
      <c r="B344" s="877"/>
      <c r="C344" s="763"/>
      <c r="D344" s="764"/>
      <c r="E344" s="764"/>
      <c r="F344" s="764"/>
      <c r="G344" s="764"/>
      <c r="H344" s="764"/>
      <c r="I344" s="764"/>
      <c r="J344" s="764"/>
      <c r="K344" s="764"/>
    </row>
    <row r="345" spans="1:13" ht="13.5" x14ac:dyDescent="0.25">
      <c r="B345" s="877"/>
      <c r="C345" s="765"/>
      <c r="D345" s="765"/>
      <c r="E345" s="766"/>
      <c r="F345" s="766"/>
      <c r="G345" s="766"/>
      <c r="H345" s="766"/>
      <c r="I345" s="766"/>
      <c r="J345" s="766"/>
      <c r="K345" s="766"/>
    </row>
    <row r="346" spans="1:13" ht="13.5" x14ac:dyDescent="0.25">
      <c r="A346" s="878" t="str">
        <f>head27a</f>
        <v>References</v>
      </c>
      <c r="B346" s="877"/>
      <c r="C346" s="765"/>
      <c r="D346" s="765"/>
      <c r="E346" s="766"/>
      <c r="F346" s="766"/>
      <c r="G346" s="766"/>
      <c r="H346" s="766"/>
      <c r="I346" s="766"/>
      <c r="J346" s="766"/>
      <c r="K346" s="766"/>
    </row>
    <row r="347" spans="1:13" ht="13.5" x14ac:dyDescent="0.25">
      <c r="A347" s="879" t="s">
        <v>1018</v>
      </c>
      <c r="B347" s="880"/>
      <c r="C347" s="768"/>
      <c r="D347" s="768"/>
      <c r="E347" s="769"/>
      <c r="F347" s="769"/>
      <c r="G347" s="769"/>
      <c r="H347" s="769"/>
      <c r="I347" s="769"/>
      <c r="J347" s="769"/>
      <c r="K347" s="769"/>
    </row>
    <row r="348" spans="1:13" ht="13.5" x14ac:dyDescent="0.25">
      <c r="A348" s="881" t="s">
        <v>1019</v>
      </c>
    </row>
    <row r="349" spans="1:13" ht="13.5" x14ac:dyDescent="0.25">
      <c r="A349" s="881" t="s">
        <v>1020</v>
      </c>
    </row>
  </sheetData>
  <dataConsolidate/>
  <mergeCells count="3">
    <mergeCell ref="A2:A3"/>
    <mergeCell ref="B2:B5"/>
    <mergeCell ref="C2:K2"/>
  </mergeCells>
  <phoneticPr fontId="4"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67" sqref="I67"/>
    </sheetView>
  </sheetViews>
  <sheetFormatPr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LIM333 Greater Tzaneen - Table B6 Adjustments Budget Financial Position - 27/02/2019</v>
      </c>
      <c r="B1" s="5"/>
      <c r="C1" s="58"/>
    </row>
    <row r="2" spans="1:13" ht="38.2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3"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4"/>
      <c r="B4" s="1394"/>
      <c r="C4" s="65"/>
      <c r="D4" s="15">
        <v>3</v>
      </c>
      <c r="E4" s="15">
        <v>4</v>
      </c>
      <c r="F4" s="15">
        <v>5</v>
      </c>
      <c r="G4" s="15">
        <v>6</v>
      </c>
      <c r="H4" s="15">
        <v>7</v>
      </c>
      <c r="I4" s="15">
        <v>8</v>
      </c>
      <c r="J4" s="15">
        <v>9</v>
      </c>
      <c r="K4" s="15">
        <v>10</v>
      </c>
      <c r="L4" s="15"/>
      <c r="M4" s="17"/>
    </row>
    <row r="5" spans="1:13" x14ac:dyDescent="0.25">
      <c r="A5" s="66" t="s">
        <v>605</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39" t="s">
        <v>676</v>
      </c>
      <c r="B6" s="73"/>
      <c r="C6" s="74"/>
      <c r="D6" s="75"/>
      <c r="E6" s="75"/>
      <c r="F6" s="75"/>
      <c r="G6" s="75"/>
      <c r="H6" s="75"/>
      <c r="I6" s="75"/>
      <c r="J6" s="75"/>
      <c r="K6" s="75"/>
      <c r="L6" s="75"/>
      <c r="M6" s="76"/>
    </row>
    <row r="7" spans="1:13" ht="12.75" customHeight="1" x14ac:dyDescent="0.25">
      <c r="A7" s="139" t="s">
        <v>677</v>
      </c>
      <c r="B7" s="73"/>
      <c r="C7" s="127"/>
      <c r="D7" s="75"/>
      <c r="E7" s="75"/>
      <c r="F7" s="75"/>
      <c r="G7" s="75"/>
      <c r="H7" s="75"/>
      <c r="I7" s="75"/>
      <c r="J7" s="75"/>
      <c r="K7" s="75"/>
      <c r="L7" s="75"/>
      <c r="M7" s="76"/>
    </row>
    <row r="8" spans="1:13" ht="12.75" customHeight="1" x14ac:dyDescent="0.25">
      <c r="A8" s="129" t="s">
        <v>693</v>
      </c>
      <c r="B8" s="73"/>
      <c r="C8" s="130">
        <v>11457490</v>
      </c>
      <c r="D8" s="109"/>
      <c r="E8" s="109"/>
      <c r="F8" s="109"/>
      <c r="G8" s="109"/>
      <c r="H8" s="109"/>
      <c r="I8" s="109">
        <v>-4786921</v>
      </c>
      <c r="J8" s="75">
        <f t="shared" ref="J8:J13" si="0">SUM(E8:I8)</f>
        <v>-4786921</v>
      </c>
      <c r="K8" s="75">
        <f t="shared" ref="K8:K13" si="1">IF(D8=0,C8+J8,D8+J8)</f>
        <v>6670569</v>
      </c>
      <c r="L8" s="109">
        <v>7585534.8383245338</v>
      </c>
      <c r="M8" s="110">
        <v>17412607.94884982</v>
      </c>
    </row>
    <row r="9" spans="1:13" ht="12.75" customHeight="1" x14ac:dyDescent="0.25">
      <c r="A9" s="129" t="s">
        <v>694</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695</v>
      </c>
      <c r="B10" s="73">
        <v>1</v>
      </c>
      <c r="C10" s="131">
        <f>'SB2'!C14</f>
        <v>109186534.84060001</v>
      </c>
      <c r="D10" s="132">
        <f>'SB2'!D14</f>
        <v>0</v>
      </c>
      <c r="E10" s="132">
        <f>'SB2'!E14</f>
        <v>0</v>
      </c>
      <c r="F10" s="132">
        <f>'SB2'!F14</f>
        <v>0</v>
      </c>
      <c r="G10" s="132">
        <f>'SB2'!G14</f>
        <v>0</v>
      </c>
      <c r="H10" s="132">
        <f>'SB2'!H14</f>
        <v>0</v>
      </c>
      <c r="I10" s="132">
        <f>'SB2'!I14</f>
        <v>0</v>
      </c>
      <c r="J10" s="171">
        <f t="shared" si="0"/>
        <v>0</v>
      </c>
      <c r="K10" s="171">
        <f t="shared" si="1"/>
        <v>109186534.84060001</v>
      </c>
      <c r="L10" s="132">
        <f>'SB2'!L14</f>
        <v>110278400.88300604</v>
      </c>
      <c r="M10" s="133">
        <f>'SB2'!M14</f>
        <v>111381183.95803607</v>
      </c>
    </row>
    <row r="11" spans="1:13" ht="12.75" customHeight="1" x14ac:dyDescent="0.25">
      <c r="A11" s="129" t="s">
        <v>696</v>
      </c>
      <c r="B11" s="73"/>
      <c r="C11" s="130">
        <v>228635371.6983</v>
      </c>
      <c r="D11" s="109"/>
      <c r="E11" s="109"/>
      <c r="F11" s="109"/>
      <c r="G11" s="109"/>
      <c r="H11" s="109"/>
      <c r="I11" s="109"/>
      <c r="J11" s="75">
        <f t="shared" si="0"/>
        <v>0</v>
      </c>
      <c r="K11" s="75">
        <f t="shared" si="1"/>
        <v>228635371.6983</v>
      </c>
      <c r="L11" s="109">
        <v>231079485.54021901</v>
      </c>
      <c r="M11" s="110">
        <v>233558014.27574903</v>
      </c>
    </row>
    <row r="12" spans="1:13" ht="12.75" customHeight="1" x14ac:dyDescent="0.25">
      <c r="A12" s="129" t="s">
        <v>697</v>
      </c>
      <c r="B12" s="73"/>
      <c r="C12" s="130"/>
      <c r="D12" s="109"/>
      <c r="E12" s="109"/>
      <c r="F12" s="109"/>
      <c r="G12" s="109"/>
      <c r="H12" s="109"/>
      <c r="I12" s="109"/>
      <c r="J12" s="75">
        <f t="shared" si="0"/>
        <v>0</v>
      </c>
      <c r="K12" s="75">
        <f t="shared" si="1"/>
        <v>0</v>
      </c>
      <c r="L12" s="109"/>
      <c r="M12" s="110"/>
    </row>
    <row r="13" spans="1:13" ht="12.75" customHeight="1" x14ac:dyDescent="0.25">
      <c r="A13" s="129" t="s">
        <v>698</v>
      </c>
      <c r="B13" s="73"/>
      <c r="C13" s="130">
        <v>16265405.205</v>
      </c>
      <c r="D13" s="109"/>
      <c r="E13" s="109"/>
      <c r="F13" s="109"/>
      <c r="G13" s="109"/>
      <c r="H13" s="109"/>
      <c r="I13" s="109"/>
      <c r="J13" s="75">
        <f t="shared" si="0"/>
        <v>0</v>
      </c>
      <c r="K13" s="75">
        <f t="shared" si="1"/>
        <v>16265405.205</v>
      </c>
      <c r="L13" s="109">
        <v>17078675.46525</v>
      </c>
      <c r="M13" s="110">
        <v>17932609.238512501</v>
      </c>
    </row>
    <row r="14" spans="1:13" ht="12.75" customHeight="1" x14ac:dyDescent="0.25">
      <c r="A14" s="162" t="s">
        <v>582</v>
      </c>
      <c r="B14" s="79"/>
      <c r="C14" s="80">
        <f t="shared" ref="C14:M14" si="2">SUM(C8:C13)</f>
        <v>365544801.7439</v>
      </c>
      <c r="D14" s="81">
        <f t="shared" si="2"/>
        <v>0</v>
      </c>
      <c r="E14" s="81">
        <f t="shared" si="2"/>
        <v>0</v>
      </c>
      <c r="F14" s="81">
        <f t="shared" si="2"/>
        <v>0</v>
      </c>
      <c r="G14" s="81">
        <f t="shared" si="2"/>
        <v>0</v>
      </c>
      <c r="H14" s="81">
        <f t="shared" si="2"/>
        <v>0</v>
      </c>
      <c r="I14" s="81">
        <f t="shared" si="2"/>
        <v>-4786921</v>
      </c>
      <c r="J14" s="81">
        <f t="shared" si="2"/>
        <v>-4786921</v>
      </c>
      <c r="K14" s="81">
        <f t="shared" si="2"/>
        <v>360757880.7439</v>
      </c>
      <c r="L14" s="81">
        <f t="shared" si="2"/>
        <v>366022096.72679961</v>
      </c>
      <c r="M14" s="82">
        <f t="shared" si="2"/>
        <v>380284415.42114747</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699</v>
      </c>
      <c r="B16" s="73"/>
      <c r="C16" s="74"/>
      <c r="D16" s="75"/>
      <c r="E16" s="75"/>
      <c r="F16" s="75"/>
      <c r="G16" s="75"/>
      <c r="H16" s="75"/>
      <c r="I16" s="75"/>
      <c r="J16" s="75"/>
      <c r="K16" s="75"/>
      <c r="L16" s="75"/>
      <c r="M16" s="76"/>
    </row>
    <row r="17" spans="1:13" ht="12.75" customHeight="1" x14ac:dyDescent="0.25">
      <c r="A17" s="129" t="s">
        <v>700</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701</v>
      </c>
      <c r="B18" s="73"/>
      <c r="C18" s="130">
        <v>45348941.203500003</v>
      </c>
      <c r="D18" s="109"/>
      <c r="E18" s="109"/>
      <c r="F18" s="109"/>
      <c r="G18" s="109"/>
      <c r="H18" s="109"/>
      <c r="I18" s="109"/>
      <c r="J18" s="75">
        <f t="shared" si="3"/>
        <v>0</v>
      </c>
      <c r="K18" s="75">
        <f t="shared" si="4"/>
        <v>45348941.203500003</v>
      </c>
      <c r="L18" s="109">
        <v>51093394.514504999</v>
      </c>
      <c r="M18" s="110">
        <v>57601324.792599149</v>
      </c>
    </row>
    <row r="19" spans="1:13" ht="12.75" customHeight="1" x14ac:dyDescent="0.25">
      <c r="A19" s="129" t="s">
        <v>702</v>
      </c>
      <c r="B19" s="73"/>
      <c r="C19" s="130">
        <v>203900753</v>
      </c>
      <c r="D19" s="109"/>
      <c r="E19" s="109"/>
      <c r="F19" s="109"/>
      <c r="G19" s="109"/>
      <c r="H19" s="109"/>
      <c r="I19" s="109"/>
      <c r="J19" s="75">
        <f t="shared" si="3"/>
        <v>0</v>
      </c>
      <c r="K19" s="75">
        <f t="shared" si="4"/>
        <v>203900753</v>
      </c>
      <c r="L19" s="109">
        <v>206900753</v>
      </c>
      <c r="M19" s="110">
        <v>209900753</v>
      </c>
    </row>
    <row r="20" spans="1:13" ht="12.75" customHeight="1" x14ac:dyDescent="0.25">
      <c r="A20" s="129" t="s">
        <v>997</v>
      </c>
      <c r="B20" s="73"/>
      <c r="C20" s="130"/>
      <c r="D20" s="109"/>
      <c r="E20" s="109"/>
      <c r="F20" s="109"/>
      <c r="G20" s="109"/>
      <c r="H20" s="109"/>
      <c r="I20" s="109"/>
      <c r="J20" s="75">
        <f t="shared" si="3"/>
        <v>0</v>
      </c>
      <c r="K20" s="75">
        <f t="shared" si="4"/>
        <v>0</v>
      </c>
      <c r="L20" s="109"/>
      <c r="M20" s="110"/>
    </row>
    <row r="21" spans="1:13" ht="12.75" customHeight="1" x14ac:dyDescent="0.25">
      <c r="A21" s="129" t="s">
        <v>703</v>
      </c>
      <c r="B21" s="73">
        <v>1</v>
      </c>
      <c r="C21" s="131">
        <f>'SB2'!C24</f>
        <v>1768059957</v>
      </c>
      <c r="D21" s="132">
        <f>'SB2'!D24</f>
        <v>0</v>
      </c>
      <c r="E21" s="132">
        <f>'SB2'!E24</f>
        <v>0</v>
      </c>
      <c r="F21" s="132">
        <f>'SB2'!F24</f>
        <v>0</v>
      </c>
      <c r="G21" s="132">
        <f>'SB2'!G24</f>
        <v>0</v>
      </c>
      <c r="H21" s="132">
        <f>'SB2'!H24</f>
        <v>0</v>
      </c>
      <c r="I21" s="132">
        <f>'SB2'!I24</f>
        <v>-50000000</v>
      </c>
      <c r="J21" s="132">
        <f t="shared" si="3"/>
        <v>-50000000</v>
      </c>
      <c r="K21" s="132">
        <f t="shared" si="4"/>
        <v>1718059957</v>
      </c>
      <c r="L21" s="132">
        <f>'SB2'!L24</f>
        <v>1811442228</v>
      </c>
      <c r="M21" s="133">
        <f>'SB2'!M24</f>
        <v>1854698228</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705</v>
      </c>
      <c r="B23" s="73"/>
      <c r="C23" s="130"/>
      <c r="D23" s="109"/>
      <c r="E23" s="109"/>
      <c r="F23" s="109"/>
      <c r="G23" s="109"/>
      <c r="H23" s="109"/>
      <c r="I23" s="109"/>
      <c r="J23" s="75">
        <f t="shared" si="3"/>
        <v>0</v>
      </c>
      <c r="K23" s="75">
        <f t="shared" si="4"/>
        <v>0</v>
      </c>
      <c r="L23" s="109"/>
      <c r="M23" s="110"/>
    </row>
    <row r="24" spans="1:13" ht="12.75" customHeight="1" x14ac:dyDescent="0.25">
      <c r="A24" s="129" t="s">
        <v>706</v>
      </c>
      <c r="B24" s="73"/>
      <c r="C24" s="130">
        <v>810118.0567999999</v>
      </c>
      <c r="D24" s="109"/>
      <c r="E24" s="109"/>
      <c r="F24" s="109"/>
      <c r="G24" s="109"/>
      <c r="H24" s="109"/>
      <c r="I24" s="109"/>
      <c r="J24" s="75">
        <f t="shared" si="3"/>
        <v>0</v>
      </c>
      <c r="K24" s="75">
        <f t="shared" si="4"/>
        <v>810118.0567999999</v>
      </c>
      <c r="L24" s="109">
        <v>761510.97339199984</v>
      </c>
      <c r="M24" s="110">
        <v>715820.31498847983</v>
      </c>
    </row>
    <row r="25" spans="1:13" ht="12.75" customHeight="1" x14ac:dyDescent="0.25">
      <c r="A25" s="129" t="s">
        <v>707</v>
      </c>
      <c r="B25" s="73"/>
      <c r="C25" s="130"/>
      <c r="D25" s="109"/>
      <c r="E25" s="109"/>
      <c r="F25" s="109"/>
      <c r="G25" s="109"/>
      <c r="H25" s="109"/>
      <c r="I25" s="109"/>
      <c r="J25" s="75">
        <f t="shared" si="3"/>
        <v>0</v>
      </c>
      <c r="K25" s="75">
        <f t="shared" si="4"/>
        <v>0</v>
      </c>
      <c r="L25" s="109"/>
      <c r="M25" s="110"/>
    </row>
    <row r="26" spans="1:13" ht="12.75" customHeight="1" x14ac:dyDescent="0.25">
      <c r="A26" s="162" t="s">
        <v>583</v>
      </c>
      <c r="B26" s="79"/>
      <c r="C26" s="80">
        <f>SUM(C17:C21)+SUM(C23:C25)</f>
        <v>2018119769.2602999</v>
      </c>
      <c r="D26" s="81">
        <f t="shared" ref="D26:M26" si="5">SUM(D17:D21)+SUM(D23:D25)</f>
        <v>0</v>
      </c>
      <c r="E26" s="81">
        <f t="shared" si="5"/>
        <v>0</v>
      </c>
      <c r="F26" s="81">
        <f t="shared" si="5"/>
        <v>0</v>
      </c>
      <c r="G26" s="81">
        <f t="shared" si="5"/>
        <v>0</v>
      </c>
      <c r="H26" s="81">
        <f t="shared" si="5"/>
        <v>0</v>
      </c>
      <c r="I26" s="81">
        <f t="shared" si="5"/>
        <v>-50000000</v>
      </c>
      <c r="J26" s="81">
        <f t="shared" si="5"/>
        <v>-50000000</v>
      </c>
      <c r="K26" s="81">
        <f t="shared" si="5"/>
        <v>1968119769.2602999</v>
      </c>
      <c r="L26" s="81">
        <f t="shared" si="5"/>
        <v>2070197886.4878969</v>
      </c>
      <c r="M26" s="82">
        <f t="shared" si="5"/>
        <v>2122916126.1075876</v>
      </c>
    </row>
    <row r="27" spans="1:13" ht="12.75" customHeight="1" x14ac:dyDescent="0.25">
      <c r="A27" s="162" t="s">
        <v>708</v>
      </c>
      <c r="B27" s="79"/>
      <c r="C27" s="80">
        <f t="shared" ref="C27:M27" si="6">C14+C26</f>
        <v>2383664571.0042</v>
      </c>
      <c r="D27" s="81">
        <f t="shared" si="6"/>
        <v>0</v>
      </c>
      <c r="E27" s="81">
        <f t="shared" si="6"/>
        <v>0</v>
      </c>
      <c r="F27" s="81">
        <f t="shared" si="6"/>
        <v>0</v>
      </c>
      <c r="G27" s="81">
        <f t="shared" si="6"/>
        <v>0</v>
      </c>
      <c r="H27" s="81">
        <f t="shared" si="6"/>
        <v>0</v>
      </c>
      <c r="I27" s="81">
        <f t="shared" si="6"/>
        <v>-54786921</v>
      </c>
      <c r="J27" s="81">
        <f t="shared" si="6"/>
        <v>-54786921</v>
      </c>
      <c r="K27" s="81">
        <f t="shared" si="6"/>
        <v>2328877650.0042</v>
      </c>
      <c r="L27" s="81">
        <f t="shared" si="6"/>
        <v>2436219983.2146964</v>
      </c>
      <c r="M27" s="82">
        <f t="shared" si="6"/>
        <v>2503200541.5287352</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709</v>
      </c>
      <c r="B29" s="73"/>
      <c r="C29" s="74"/>
      <c r="D29" s="75"/>
      <c r="E29" s="75"/>
      <c r="F29" s="75"/>
      <c r="G29" s="75"/>
      <c r="H29" s="75"/>
      <c r="I29" s="75"/>
      <c r="J29" s="75"/>
      <c r="K29" s="75"/>
      <c r="L29" s="75"/>
      <c r="M29" s="76"/>
    </row>
    <row r="30" spans="1:13" ht="12.75" customHeight="1" x14ac:dyDescent="0.25">
      <c r="A30" s="139" t="s">
        <v>710</v>
      </c>
      <c r="B30" s="115"/>
      <c r="C30" s="74"/>
      <c r="D30" s="75"/>
      <c r="E30" s="75"/>
      <c r="F30" s="75"/>
      <c r="G30" s="75"/>
      <c r="H30" s="75"/>
      <c r="I30" s="75"/>
      <c r="J30" s="75"/>
      <c r="K30" s="75"/>
      <c r="L30" s="75"/>
      <c r="M30" s="76"/>
    </row>
    <row r="31" spans="1:13" ht="12.75" customHeight="1" x14ac:dyDescent="0.25">
      <c r="A31" s="129" t="s">
        <v>711</v>
      </c>
      <c r="B31" s="73"/>
      <c r="C31" s="130"/>
      <c r="D31" s="109"/>
      <c r="E31" s="109"/>
      <c r="F31" s="109"/>
      <c r="G31" s="109"/>
      <c r="H31" s="109"/>
      <c r="I31" s="109"/>
      <c r="J31" s="75">
        <f>SUM(E31:I31)</f>
        <v>0</v>
      </c>
      <c r="K31" s="75">
        <f>IF(D31=0,C31+J31,D31+J31)</f>
        <v>0</v>
      </c>
      <c r="L31" s="109"/>
      <c r="M31" s="110"/>
    </row>
    <row r="32" spans="1:13" ht="12.75" customHeight="1" x14ac:dyDescent="0.25">
      <c r="A32" s="129" t="s">
        <v>578</v>
      </c>
      <c r="B32" s="73"/>
      <c r="C32" s="131">
        <f>'SB2'!C30</f>
        <v>10766611.323475</v>
      </c>
      <c r="D32" s="132">
        <f>'SB2'!D30</f>
        <v>0</v>
      </c>
      <c r="E32" s="132">
        <f>'SB2'!E30</f>
        <v>0</v>
      </c>
      <c r="F32" s="132">
        <f>'SB2'!F30</f>
        <v>0</v>
      </c>
      <c r="G32" s="132">
        <f>'SB2'!G30</f>
        <v>0</v>
      </c>
      <c r="H32" s="132">
        <f>'SB2'!H30</f>
        <v>0</v>
      </c>
      <c r="I32" s="132">
        <f>'SB2'!I30</f>
        <v>0</v>
      </c>
      <c r="J32" s="132">
        <f>SUM(E32:I32)</f>
        <v>0</v>
      </c>
      <c r="K32" s="132">
        <f>IF(D32=0,C32+J32,D32+J32)</f>
        <v>10766611.323475</v>
      </c>
      <c r="L32" s="132">
        <f>'SB2'!L30</f>
        <v>12414838.600049125</v>
      </c>
      <c r="M32" s="133">
        <f>'SB2'!M30</f>
        <v>16483677.855348431</v>
      </c>
    </row>
    <row r="33" spans="1:13" ht="12.75" customHeight="1" x14ac:dyDescent="0.25">
      <c r="A33" s="129" t="s">
        <v>712</v>
      </c>
      <c r="B33" s="73"/>
      <c r="C33" s="130">
        <v>25529385</v>
      </c>
      <c r="D33" s="109"/>
      <c r="E33" s="109"/>
      <c r="F33" s="109"/>
      <c r="G33" s="109"/>
      <c r="H33" s="109"/>
      <c r="I33" s="109"/>
      <c r="J33" s="75">
        <f>SUM(E33:I33)</f>
        <v>0</v>
      </c>
      <c r="K33" s="75">
        <f>IF(D33=0,C33+J33,D33+J33)</f>
        <v>25529385</v>
      </c>
      <c r="L33" s="109">
        <v>26629385</v>
      </c>
      <c r="M33" s="110">
        <v>27729385</v>
      </c>
    </row>
    <row r="34" spans="1:13" ht="12.75" customHeight="1" x14ac:dyDescent="0.25">
      <c r="A34" s="129" t="s">
        <v>713</v>
      </c>
      <c r="B34" s="73"/>
      <c r="C34" s="131">
        <f>'SB2'!C36</f>
        <v>213492752.93040001</v>
      </c>
      <c r="D34" s="132">
        <f>'SB2'!D36</f>
        <v>0</v>
      </c>
      <c r="E34" s="132">
        <f>'SB2'!E36</f>
        <v>0</v>
      </c>
      <c r="F34" s="132">
        <f>'SB2'!F36</f>
        <v>0</v>
      </c>
      <c r="G34" s="132">
        <f>'SB2'!G36</f>
        <v>0</v>
      </c>
      <c r="H34" s="132">
        <f>'SB2'!H36</f>
        <v>0</v>
      </c>
      <c r="I34" s="132">
        <f>'SB2'!I36</f>
        <v>0</v>
      </c>
      <c r="J34" s="132">
        <f>SUM(E34:I34)</f>
        <v>0</v>
      </c>
      <c r="K34" s="132">
        <f>IF(D34=0,C34+J34,D34+J34)</f>
        <v>213492752.93040001</v>
      </c>
      <c r="L34" s="132">
        <f>'SB2'!L36</f>
        <v>212423006.309008</v>
      </c>
      <c r="M34" s="133">
        <f>'SB2'!M36</f>
        <v>211384642.03518817</v>
      </c>
    </row>
    <row r="35" spans="1:13" ht="12.75" customHeight="1" x14ac:dyDescent="0.25">
      <c r="A35" s="129" t="s">
        <v>714</v>
      </c>
      <c r="B35" s="73"/>
      <c r="C35" s="130">
        <v>681901.60400000005</v>
      </c>
      <c r="D35" s="109"/>
      <c r="E35" s="109"/>
      <c r="F35" s="109"/>
      <c r="G35" s="109"/>
      <c r="H35" s="109"/>
      <c r="I35" s="109"/>
      <c r="J35" s="75">
        <f>SUM(E35:I35)</f>
        <v>0</v>
      </c>
      <c r="K35" s="75">
        <f>IF(D35=0,C35+J35,D35+J35)</f>
        <v>681901.60400000005</v>
      </c>
      <c r="L35" s="109">
        <v>722815.70024000003</v>
      </c>
      <c r="M35" s="110">
        <v>766184.64225440007</v>
      </c>
    </row>
    <row r="36" spans="1:13" ht="12.75" customHeight="1" x14ac:dyDescent="0.25">
      <c r="A36" s="162" t="s">
        <v>584</v>
      </c>
      <c r="B36" s="79"/>
      <c r="C36" s="80">
        <f t="shared" ref="C36:M36" si="7">SUM(C31:C35)</f>
        <v>250470650.85787502</v>
      </c>
      <c r="D36" s="81">
        <f t="shared" si="7"/>
        <v>0</v>
      </c>
      <c r="E36" s="81">
        <f t="shared" si="7"/>
        <v>0</v>
      </c>
      <c r="F36" s="81">
        <f t="shared" si="7"/>
        <v>0</v>
      </c>
      <c r="G36" s="81">
        <f t="shared" si="7"/>
        <v>0</v>
      </c>
      <c r="H36" s="81">
        <f t="shared" si="7"/>
        <v>0</v>
      </c>
      <c r="I36" s="81">
        <f t="shared" si="7"/>
        <v>0</v>
      </c>
      <c r="J36" s="81">
        <f t="shared" si="7"/>
        <v>0</v>
      </c>
      <c r="K36" s="81">
        <f t="shared" si="7"/>
        <v>250470650.85787502</v>
      </c>
      <c r="L36" s="81">
        <f t="shared" si="7"/>
        <v>252190045.60929713</v>
      </c>
      <c r="M36" s="82">
        <f t="shared" si="7"/>
        <v>256363889.53279102</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715</v>
      </c>
      <c r="B38" s="73"/>
      <c r="C38" s="74"/>
      <c r="D38" s="75"/>
      <c r="E38" s="75"/>
      <c r="F38" s="75"/>
      <c r="G38" s="75"/>
      <c r="H38" s="75"/>
      <c r="I38" s="75"/>
      <c r="J38" s="75"/>
      <c r="K38" s="75"/>
      <c r="L38" s="75"/>
      <c r="M38" s="76"/>
    </row>
    <row r="39" spans="1:13" ht="12.75" customHeight="1" x14ac:dyDescent="0.25">
      <c r="A39" s="129" t="s">
        <v>578</v>
      </c>
      <c r="B39" s="73">
        <v>1</v>
      </c>
      <c r="C39" s="131">
        <f>'SB2'!C40</f>
        <v>187228015.74652499</v>
      </c>
      <c r="D39" s="132">
        <f>'SB2'!D40</f>
        <v>0</v>
      </c>
      <c r="E39" s="132">
        <f>'SB2'!E40</f>
        <v>0</v>
      </c>
      <c r="F39" s="132">
        <f>'SB2'!F40</f>
        <v>0</v>
      </c>
      <c r="G39" s="132">
        <f>'SB2'!G40</f>
        <v>0</v>
      </c>
      <c r="H39" s="132">
        <f>'SB2'!H40</f>
        <v>0</v>
      </c>
      <c r="I39" s="132">
        <f>'SB2'!I40</f>
        <v>-50000000</v>
      </c>
      <c r="J39" s="132">
        <f>SUM(E39:I39)</f>
        <v>-50000000</v>
      </c>
      <c r="K39" s="132">
        <f>IF(D39=0,C39+J39,D39+J39)</f>
        <v>137228015.74652499</v>
      </c>
      <c r="L39" s="132">
        <f>'SB2'!L40</f>
        <v>205112951.59147584</v>
      </c>
      <c r="M39" s="133">
        <f>'SB2'!M40</f>
        <v>216946273.73612744</v>
      </c>
    </row>
    <row r="40" spans="1:13" ht="12.75" customHeight="1" x14ac:dyDescent="0.25">
      <c r="A40" s="129" t="s">
        <v>714</v>
      </c>
      <c r="B40" s="73">
        <v>1</v>
      </c>
      <c r="C40" s="131">
        <f>'SB2'!C46</f>
        <v>85742316.063800007</v>
      </c>
      <c r="D40" s="132">
        <f>'SB2'!D46</f>
        <v>0</v>
      </c>
      <c r="E40" s="132">
        <f>'SB2'!E46</f>
        <v>0</v>
      </c>
      <c r="F40" s="132">
        <f>'SB2'!F46</f>
        <v>0</v>
      </c>
      <c r="G40" s="132">
        <f>'SB2'!G46</f>
        <v>0</v>
      </c>
      <c r="H40" s="132">
        <f>'SB2'!H46</f>
        <v>0</v>
      </c>
      <c r="I40" s="132">
        <f>'SB2'!I46</f>
        <v>0</v>
      </c>
      <c r="J40" s="132">
        <f>SUM(E40:I40)</f>
        <v>0</v>
      </c>
      <c r="K40" s="132">
        <f>IF(D40=0,C40+J40,D40+J40)</f>
        <v>85742316.063800007</v>
      </c>
      <c r="L40" s="132">
        <f>'SB2'!L46</f>
        <v>84303268.590698004</v>
      </c>
      <c r="M40" s="133">
        <f>'SB2'!M46</f>
        <v>82789434.744452581</v>
      </c>
    </row>
    <row r="41" spans="1:13" ht="12.75" customHeight="1" x14ac:dyDescent="0.25">
      <c r="A41" s="162" t="s">
        <v>585</v>
      </c>
      <c r="B41" s="79"/>
      <c r="C41" s="80">
        <f t="shared" ref="C41:M41" si="8">SUM(C39:C40)</f>
        <v>272970331.81032503</v>
      </c>
      <c r="D41" s="81">
        <f t="shared" si="8"/>
        <v>0</v>
      </c>
      <c r="E41" s="81">
        <f t="shared" si="8"/>
        <v>0</v>
      </c>
      <c r="F41" s="81">
        <f t="shared" si="8"/>
        <v>0</v>
      </c>
      <c r="G41" s="81">
        <f t="shared" si="8"/>
        <v>0</v>
      </c>
      <c r="H41" s="81">
        <f t="shared" si="8"/>
        <v>0</v>
      </c>
      <c r="I41" s="81">
        <f t="shared" si="8"/>
        <v>-50000000</v>
      </c>
      <c r="J41" s="81">
        <f t="shared" si="8"/>
        <v>-50000000</v>
      </c>
      <c r="K41" s="81">
        <f t="shared" si="8"/>
        <v>222970331.810325</v>
      </c>
      <c r="L41" s="81">
        <f t="shared" si="8"/>
        <v>289416220.18217385</v>
      </c>
      <c r="M41" s="82">
        <f t="shared" si="8"/>
        <v>299735708.48058003</v>
      </c>
    </row>
    <row r="42" spans="1:13" ht="12.75" customHeight="1" x14ac:dyDescent="0.25">
      <c r="A42" s="162" t="s">
        <v>716</v>
      </c>
      <c r="B42" s="79"/>
      <c r="C42" s="80">
        <f t="shared" ref="C42:M42" si="9">C36+C41</f>
        <v>523440982.66820002</v>
      </c>
      <c r="D42" s="81">
        <f t="shared" si="9"/>
        <v>0</v>
      </c>
      <c r="E42" s="81">
        <f t="shared" si="9"/>
        <v>0</v>
      </c>
      <c r="F42" s="81">
        <f t="shared" si="9"/>
        <v>0</v>
      </c>
      <c r="G42" s="81">
        <f t="shared" si="9"/>
        <v>0</v>
      </c>
      <c r="H42" s="81">
        <f t="shared" si="9"/>
        <v>0</v>
      </c>
      <c r="I42" s="81">
        <f t="shared" si="9"/>
        <v>-50000000</v>
      </c>
      <c r="J42" s="81">
        <f t="shared" si="9"/>
        <v>-50000000</v>
      </c>
      <c r="K42" s="81">
        <f t="shared" si="9"/>
        <v>473440982.66820002</v>
      </c>
      <c r="L42" s="81">
        <f t="shared" si="9"/>
        <v>541606265.791471</v>
      </c>
      <c r="M42" s="82">
        <f t="shared" si="9"/>
        <v>556099598.01337099</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717</v>
      </c>
      <c r="B44" s="154">
        <v>2</v>
      </c>
      <c r="C44" s="524">
        <f t="shared" ref="C44:M44" si="10">C27-C42</f>
        <v>1860223588.336</v>
      </c>
      <c r="D44" s="237">
        <f t="shared" si="10"/>
        <v>0</v>
      </c>
      <c r="E44" s="237">
        <f t="shared" si="10"/>
        <v>0</v>
      </c>
      <c r="F44" s="237">
        <f t="shared" si="10"/>
        <v>0</v>
      </c>
      <c r="G44" s="237">
        <f t="shared" si="10"/>
        <v>0</v>
      </c>
      <c r="H44" s="237">
        <f t="shared" si="10"/>
        <v>0</v>
      </c>
      <c r="I44" s="237">
        <f t="shared" si="10"/>
        <v>-4786921</v>
      </c>
      <c r="J44" s="237">
        <f t="shared" si="10"/>
        <v>-4786921</v>
      </c>
      <c r="K44" s="237">
        <f t="shared" si="10"/>
        <v>1855436667.336</v>
      </c>
      <c r="L44" s="237">
        <f t="shared" si="10"/>
        <v>1894613717.4232254</v>
      </c>
      <c r="M44" s="238">
        <f t="shared" si="10"/>
        <v>1947100943.5153642</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718</v>
      </c>
      <c r="B46" s="73"/>
      <c r="C46" s="74"/>
      <c r="D46" s="75"/>
      <c r="E46" s="75"/>
      <c r="F46" s="75"/>
      <c r="G46" s="75"/>
      <c r="H46" s="75"/>
      <c r="I46" s="75"/>
      <c r="J46" s="75"/>
      <c r="K46" s="75"/>
      <c r="L46" s="75"/>
      <c r="M46" s="76"/>
    </row>
    <row r="47" spans="1:13" ht="12.75" customHeight="1" x14ac:dyDescent="0.25">
      <c r="A47" s="129" t="s">
        <v>719</v>
      </c>
      <c r="B47" s="73"/>
      <c r="C47" s="131">
        <f>'SB2'!C55</f>
        <v>1860223588.71</v>
      </c>
      <c r="D47" s="132">
        <f>'SB2'!D55</f>
        <v>0</v>
      </c>
      <c r="E47" s="132">
        <f>'SB2'!E55</f>
        <v>0</v>
      </c>
      <c r="F47" s="132">
        <f>'SB2'!F55</f>
        <v>0</v>
      </c>
      <c r="G47" s="132">
        <f>'SB2'!G55</f>
        <v>0</v>
      </c>
      <c r="H47" s="132">
        <f>'SB2'!H55</f>
        <v>0</v>
      </c>
      <c r="I47" s="132">
        <f>'SB2'!I55</f>
        <v>-4786921</v>
      </c>
      <c r="J47" s="132">
        <f>SUM(E47:I47)</f>
        <v>-4786921</v>
      </c>
      <c r="K47" s="132">
        <f>IF(D47=0,C47+J47,D47+J47)</f>
        <v>1855436667.71</v>
      </c>
      <c r="L47" s="132">
        <f>'SB2'!L55</f>
        <v>1894613717</v>
      </c>
      <c r="M47" s="133">
        <f>'SB2'!M55</f>
        <v>1947100944</v>
      </c>
    </row>
    <row r="48" spans="1:13" ht="12.75" customHeight="1" x14ac:dyDescent="0.25">
      <c r="A48" s="129" t="s">
        <v>720</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721</v>
      </c>
      <c r="B50" s="156"/>
      <c r="C50" s="157">
        <f>SUM(C47:C48)</f>
        <v>1860223588.71</v>
      </c>
      <c r="D50" s="117">
        <f t="shared" ref="D50:M50" si="11">SUM(D47:D48)</f>
        <v>0</v>
      </c>
      <c r="E50" s="117">
        <f t="shared" si="11"/>
        <v>0</v>
      </c>
      <c r="F50" s="117">
        <f t="shared" si="11"/>
        <v>0</v>
      </c>
      <c r="G50" s="117">
        <f t="shared" si="11"/>
        <v>0</v>
      </c>
      <c r="H50" s="117">
        <f t="shared" si="11"/>
        <v>0</v>
      </c>
      <c r="I50" s="117">
        <f t="shared" si="11"/>
        <v>-4786921</v>
      </c>
      <c r="J50" s="117">
        <f t="shared" si="11"/>
        <v>-4786921</v>
      </c>
      <c r="K50" s="117">
        <f t="shared" si="11"/>
        <v>1855436667.71</v>
      </c>
      <c r="L50" s="117">
        <f t="shared" si="11"/>
        <v>1894613717</v>
      </c>
      <c r="M50" s="118">
        <f t="shared" si="11"/>
        <v>1947100944</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1049</v>
      </c>
      <c r="B52" s="99"/>
      <c r="C52" s="99"/>
      <c r="D52" s="99"/>
      <c r="E52" s="99"/>
      <c r="F52" s="99"/>
      <c r="G52" s="99"/>
      <c r="H52" s="99"/>
      <c r="I52" s="99"/>
      <c r="J52" s="99"/>
      <c r="K52" s="99"/>
      <c r="L52" s="99"/>
      <c r="M52" s="99"/>
    </row>
    <row r="53" spans="1:13" ht="12.75" customHeight="1" x14ac:dyDescent="0.25">
      <c r="A53" s="99" t="s">
        <v>723</v>
      </c>
      <c r="B53" s="100"/>
      <c r="C53" s="100"/>
      <c r="D53" s="100"/>
      <c r="E53" s="100"/>
      <c r="F53" s="100"/>
      <c r="G53" s="100"/>
      <c r="H53" s="100"/>
      <c r="I53" s="100"/>
      <c r="J53" s="100"/>
      <c r="K53" s="100"/>
      <c r="L53" s="100"/>
      <c r="M53" s="100"/>
    </row>
    <row r="54" spans="1:13" ht="12.75" customHeight="1" x14ac:dyDescent="0.25">
      <c r="A54" s="1395" t="s">
        <v>994</v>
      </c>
      <c r="B54" s="1395"/>
      <c r="C54" s="1395"/>
      <c r="D54" s="1395"/>
      <c r="E54" s="1395"/>
      <c r="F54" s="1395"/>
      <c r="G54" s="1395"/>
      <c r="H54" s="1395"/>
      <c r="I54" s="1395"/>
      <c r="J54" s="1395"/>
      <c r="K54" s="1395"/>
      <c r="L54" s="1395"/>
      <c r="M54" s="1395"/>
    </row>
    <row r="55" spans="1:13" ht="25.5" customHeight="1" x14ac:dyDescent="0.25">
      <c r="A55" s="1395" t="s">
        <v>1038</v>
      </c>
      <c r="B55" s="1395"/>
      <c r="C55" s="1395"/>
      <c r="D55" s="1395"/>
      <c r="E55" s="1395"/>
      <c r="F55" s="1395"/>
      <c r="G55" s="1395"/>
      <c r="H55" s="1395"/>
      <c r="I55" s="1395"/>
      <c r="J55" s="1395"/>
      <c r="K55" s="1395"/>
      <c r="L55" s="1395"/>
      <c r="M55" s="1395"/>
    </row>
    <row r="56" spans="1:13" ht="12.75" customHeight="1" x14ac:dyDescent="0.25">
      <c r="A56" s="1389" t="s">
        <v>1039</v>
      </c>
      <c r="B56" s="1389"/>
      <c r="C56" s="1389"/>
      <c r="D56" s="1389"/>
      <c r="E56" s="1389"/>
      <c r="F56" s="1389"/>
      <c r="G56" s="1389"/>
      <c r="H56" s="1389"/>
      <c r="I56" s="1389"/>
      <c r="J56" s="1389"/>
      <c r="K56" s="1389"/>
      <c r="L56" s="1389"/>
      <c r="M56" s="1389"/>
    </row>
    <row r="57" spans="1:13" ht="12.75" customHeight="1" x14ac:dyDescent="0.25">
      <c r="A57" s="1389" t="s">
        <v>1040</v>
      </c>
      <c r="B57" s="1389"/>
      <c r="C57" s="1389"/>
      <c r="D57" s="1389"/>
      <c r="E57" s="1389"/>
      <c r="F57" s="1389"/>
      <c r="G57" s="1389"/>
      <c r="H57" s="1389"/>
      <c r="I57" s="1389"/>
      <c r="J57" s="1389"/>
      <c r="K57" s="1389"/>
      <c r="L57" s="1389"/>
      <c r="M57" s="1389"/>
    </row>
    <row r="58" spans="1:13" ht="12.75" customHeight="1" x14ac:dyDescent="0.25">
      <c r="A58" s="99" t="s">
        <v>1041</v>
      </c>
      <c r="B58" s="160"/>
      <c r="C58" s="96"/>
      <c r="D58" s="96"/>
      <c r="E58" s="96"/>
      <c r="F58" s="96"/>
      <c r="G58" s="96"/>
      <c r="H58" s="96"/>
      <c r="I58" s="96"/>
      <c r="J58" s="96"/>
      <c r="K58" s="96"/>
      <c r="L58" s="96"/>
      <c r="M58" s="96"/>
    </row>
    <row r="59" spans="1:13" ht="27.75" customHeight="1" x14ac:dyDescent="0.25">
      <c r="A59" s="1389" t="s">
        <v>1042</v>
      </c>
      <c r="B59" s="1389"/>
      <c r="C59" s="1389"/>
      <c r="D59" s="1389"/>
      <c r="E59" s="1389"/>
      <c r="F59" s="1389"/>
      <c r="G59" s="1389"/>
      <c r="H59" s="1389"/>
      <c r="I59" s="1389"/>
      <c r="J59" s="1389"/>
      <c r="K59" s="1389"/>
      <c r="L59" s="1389"/>
      <c r="M59" s="1389"/>
    </row>
    <row r="60" spans="1:13" ht="12.75" customHeight="1" x14ac:dyDescent="0.25">
      <c r="A60" s="99" t="s">
        <v>610</v>
      </c>
      <c r="B60" s="93"/>
      <c r="C60" s="96"/>
      <c r="D60" s="96"/>
      <c r="E60" s="96"/>
      <c r="F60" s="96"/>
      <c r="G60" s="96"/>
      <c r="H60" s="96"/>
      <c r="I60" s="96"/>
      <c r="J60" s="96"/>
      <c r="K60" s="96"/>
      <c r="L60" s="96"/>
      <c r="M60" s="96"/>
    </row>
    <row r="61" spans="1:13" ht="12.75" customHeight="1" x14ac:dyDescent="0.25">
      <c r="A61" s="1389" t="s">
        <v>611</v>
      </c>
      <c r="B61" s="1389"/>
      <c r="C61" s="1389"/>
      <c r="D61" s="1389"/>
      <c r="E61" s="1389"/>
      <c r="F61" s="1389"/>
      <c r="G61" s="1389"/>
      <c r="H61" s="1389"/>
      <c r="I61" s="1389"/>
      <c r="J61" s="1389"/>
      <c r="K61" s="1389"/>
      <c r="L61" s="1389"/>
      <c r="M61" s="1389"/>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675</v>
      </c>
      <c r="B63" s="93"/>
      <c r="C63" s="102">
        <f t="shared" ref="C63:M63" si="12">C44-C50</f>
        <v>-0.37400007247924805</v>
      </c>
      <c r="D63" s="102">
        <f t="shared" si="12"/>
        <v>0</v>
      </c>
      <c r="E63" s="102">
        <f t="shared" si="12"/>
        <v>0</v>
      </c>
      <c r="F63" s="102">
        <f t="shared" si="12"/>
        <v>0</v>
      </c>
      <c r="G63" s="102">
        <f t="shared" si="12"/>
        <v>0</v>
      </c>
      <c r="H63" s="102">
        <f t="shared" si="12"/>
        <v>0</v>
      </c>
      <c r="I63" s="102">
        <f t="shared" si="12"/>
        <v>0</v>
      </c>
      <c r="J63" s="102">
        <f t="shared" si="12"/>
        <v>0</v>
      </c>
      <c r="K63" s="102">
        <f t="shared" si="12"/>
        <v>-0.37400007247924805</v>
      </c>
      <c r="L63" s="102">
        <f t="shared" si="12"/>
        <v>0.42322540283203125</v>
      </c>
      <c r="M63" s="102">
        <f t="shared" si="12"/>
        <v>-0.48463582992553711</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C28" sqref="C28"/>
    </sheetView>
  </sheetViews>
  <sheetFormatPr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LIM333 Greater Tzaneen - Table B7 Adjustments Budget Cash Flows - 27/02/2019</v>
      </c>
      <c r="B1" s="5"/>
      <c r="C1" s="58"/>
    </row>
    <row r="2" spans="1:21"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21"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4"/>
      <c r="B4" s="1394"/>
      <c r="C4" s="65"/>
      <c r="D4" s="15">
        <v>3</v>
      </c>
      <c r="E4" s="15">
        <v>4</v>
      </c>
      <c r="F4" s="15">
        <v>5</v>
      </c>
      <c r="G4" s="15">
        <v>6</v>
      </c>
      <c r="H4" s="15">
        <v>7</v>
      </c>
      <c r="I4" s="15">
        <v>8</v>
      </c>
      <c r="J4" s="15">
        <v>9</v>
      </c>
      <c r="K4" s="15">
        <v>10</v>
      </c>
      <c r="L4" s="15"/>
      <c r="M4" s="17"/>
    </row>
    <row r="5" spans="1:21" ht="13.5" x14ac:dyDescent="0.25">
      <c r="A5" s="66" t="s">
        <v>605</v>
      </c>
      <c r="B5" s="104"/>
      <c r="C5" s="67" t="s">
        <v>548</v>
      </c>
      <c r="D5" s="68" t="s">
        <v>549</v>
      </c>
      <c r="E5" s="68" t="s">
        <v>550</v>
      </c>
      <c r="F5" s="69" t="s">
        <v>551</v>
      </c>
      <c r="G5" s="69" t="s">
        <v>552</v>
      </c>
      <c r="H5" s="69" t="s">
        <v>553</v>
      </c>
      <c r="I5" s="70" t="s">
        <v>554</v>
      </c>
      <c r="J5" s="70" t="s">
        <v>555</v>
      </c>
      <c r="K5" s="70" t="s">
        <v>556</v>
      </c>
      <c r="L5" s="70"/>
      <c r="M5" s="71"/>
      <c r="N5"/>
      <c r="O5"/>
      <c r="P5"/>
      <c r="Q5"/>
      <c r="R5"/>
      <c r="S5"/>
      <c r="T5"/>
      <c r="U5"/>
    </row>
    <row r="6" spans="1:21" ht="12.75" customHeight="1" x14ac:dyDescent="0.25">
      <c r="A6" s="139" t="s">
        <v>724</v>
      </c>
      <c r="B6" s="73"/>
      <c r="C6" s="74"/>
      <c r="D6" s="75"/>
      <c r="E6" s="75"/>
      <c r="F6" s="75"/>
      <c r="G6" s="75"/>
      <c r="H6" s="75"/>
      <c r="I6" s="75"/>
      <c r="J6" s="75"/>
      <c r="K6" s="75"/>
      <c r="L6" s="75"/>
      <c r="M6" s="76"/>
      <c r="N6"/>
      <c r="O6"/>
      <c r="P6"/>
      <c r="Q6"/>
      <c r="R6"/>
      <c r="S6"/>
      <c r="T6"/>
      <c r="U6"/>
    </row>
    <row r="7" spans="1:21" ht="12.75" customHeight="1" x14ac:dyDescent="0.25">
      <c r="A7" s="139" t="s">
        <v>725</v>
      </c>
      <c r="B7" s="73"/>
      <c r="C7" s="74"/>
      <c r="D7" s="75"/>
      <c r="E7" s="75"/>
      <c r="F7" s="75"/>
      <c r="G7" s="75"/>
      <c r="H7" s="75"/>
      <c r="I7" s="75"/>
      <c r="J7" s="75"/>
      <c r="K7" s="75"/>
      <c r="L7" s="75"/>
      <c r="M7" s="76"/>
      <c r="N7"/>
      <c r="O7"/>
      <c r="P7"/>
      <c r="Q7"/>
      <c r="R7"/>
      <c r="S7"/>
      <c r="T7"/>
      <c r="U7"/>
    </row>
    <row r="8" spans="1:21" ht="12.75" customHeight="1" x14ac:dyDescent="0.25">
      <c r="A8" s="595" t="s">
        <v>558</v>
      </c>
      <c r="B8" s="73"/>
      <c r="C8" s="130">
        <v>93800000</v>
      </c>
      <c r="D8" s="109"/>
      <c r="E8" s="109"/>
      <c r="F8" s="109"/>
      <c r="G8" s="109"/>
      <c r="H8" s="109"/>
      <c r="I8" s="109"/>
      <c r="J8" s="75">
        <f>SUM(E8:I8)</f>
        <v>0</v>
      </c>
      <c r="K8" s="75">
        <f>IF(D8=0,C8+J8,D8+J8)</f>
        <v>93800000</v>
      </c>
      <c r="L8" s="109">
        <v>98959000</v>
      </c>
      <c r="M8" s="110">
        <v>104401745</v>
      </c>
      <c r="N8"/>
      <c r="O8"/>
      <c r="P8"/>
      <c r="Q8"/>
      <c r="R8"/>
      <c r="S8"/>
      <c r="T8"/>
      <c r="U8"/>
    </row>
    <row r="9" spans="1:21" ht="12.75" customHeight="1" x14ac:dyDescent="0.25">
      <c r="A9" s="595" t="s">
        <v>559</v>
      </c>
      <c r="B9" s="73"/>
      <c r="C9" s="130">
        <v>534933000</v>
      </c>
      <c r="D9" s="109"/>
      <c r="E9" s="109"/>
      <c r="F9" s="109"/>
      <c r="G9" s="109"/>
      <c r="H9" s="109"/>
      <c r="I9" s="109"/>
      <c r="J9" s="75">
        <f t="shared" ref="J9:J14" si="0">SUM(E9:I9)</f>
        <v>0</v>
      </c>
      <c r="K9" s="75">
        <f t="shared" ref="K9:K14" si="1">IF(D9=0,C9+J9,D9+J9)</f>
        <v>534933000</v>
      </c>
      <c r="L9" s="109">
        <v>564354315</v>
      </c>
      <c r="M9" s="110">
        <v>595393802.32499993</v>
      </c>
      <c r="N9"/>
      <c r="O9"/>
      <c r="P9"/>
      <c r="Q9"/>
      <c r="R9"/>
      <c r="S9"/>
      <c r="T9"/>
      <c r="U9"/>
    </row>
    <row r="10" spans="1:21" ht="12.75" customHeight="1" x14ac:dyDescent="0.25">
      <c r="A10" s="595" t="s">
        <v>650</v>
      </c>
      <c r="B10" s="73"/>
      <c r="C10" s="130">
        <v>70443573</v>
      </c>
      <c r="D10" s="109"/>
      <c r="E10" s="109"/>
      <c r="F10" s="109"/>
      <c r="G10" s="109"/>
      <c r="H10" s="109"/>
      <c r="I10" s="109">
        <v>-500000</v>
      </c>
      <c r="J10" s="75">
        <f t="shared" si="0"/>
        <v>-500000</v>
      </c>
      <c r="K10" s="75">
        <f t="shared" si="1"/>
        <v>69943573</v>
      </c>
      <c r="L10" s="109">
        <v>74317969.515000001</v>
      </c>
      <c r="M10" s="110">
        <v>78405457.838325009</v>
      </c>
      <c r="N10"/>
      <c r="O10"/>
      <c r="P10"/>
      <c r="Q10"/>
      <c r="R10"/>
      <c r="S10"/>
      <c r="T10"/>
      <c r="U10"/>
    </row>
    <row r="11" spans="1:21" ht="12.75" customHeight="1" x14ac:dyDescent="0.25">
      <c r="A11" s="129" t="s">
        <v>726</v>
      </c>
      <c r="B11" s="73">
        <v>1</v>
      </c>
      <c r="C11" s="130">
        <v>366610750</v>
      </c>
      <c r="D11" s="109"/>
      <c r="E11" s="109"/>
      <c r="F11" s="109"/>
      <c r="G11" s="109"/>
      <c r="H11" s="109"/>
      <c r="I11" s="109"/>
      <c r="J11" s="75">
        <f t="shared" si="0"/>
        <v>0</v>
      </c>
      <c r="K11" s="75">
        <f t="shared" si="1"/>
        <v>366610750</v>
      </c>
      <c r="L11" s="109">
        <v>398276150</v>
      </c>
      <c r="M11" s="110">
        <v>429446520</v>
      </c>
      <c r="N11"/>
      <c r="O11"/>
      <c r="P11"/>
      <c r="Q11"/>
      <c r="R11"/>
      <c r="S11"/>
      <c r="T11"/>
      <c r="U11"/>
    </row>
    <row r="12" spans="1:21" ht="12.75" customHeight="1" x14ac:dyDescent="0.25">
      <c r="A12" s="129" t="s">
        <v>727</v>
      </c>
      <c r="B12" s="73">
        <v>1</v>
      </c>
      <c r="C12" s="130">
        <v>87699250</v>
      </c>
      <c r="D12" s="109"/>
      <c r="E12" s="109"/>
      <c r="F12" s="109"/>
      <c r="G12" s="109"/>
      <c r="H12" s="109"/>
      <c r="I12" s="109"/>
      <c r="J12" s="75">
        <f t="shared" si="0"/>
        <v>0</v>
      </c>
      <c r="K12" s="75">
        <f t="shared" si="1"/>
        <v>87699250</v>
      </c>
      <c r="L12" s="109">
        <v>89549850</v>
      </c>
      <c r="M12" s="110">
        <v>94667480</v>
      </c>
      <c r="N12"/>
      <c r="O12"/>
      <c r="P12"/>
      <c r="Q12"/>
      <c r="R12"/>
      <c r="S12"/>
      <c r="T12"/>
      <c r="U12"/>
    </row>
    <row r="13" spans="1:21" ht="12.75" customHeight="1" x14ac:dyDescent="0.25">
      <c r="A13" s="129" t="s">
        <v>728</v>
      </c>
      <c r="B13" s="73"/>
      <c r="C13" s="130">
        <v>20801000</v>
      </c>
      <c r="D13" s="109"/>
      <c r="E13" s="109"/>
      <c r="F13" s="109"/>
      <c r="G13" s="109"/>
      <c r="H13" s="109"/>
      <c r="I13" s="109"/>
      <c r="J13" s="75">
        <f t="shared" si="0"/>
        <v>0</v>
      </c>
      <c r="K13" s="75">
        <f t="shared" si="1"/>
        <v>20801000</v>
      </c>
      <c r="L13" s="109">
        <v>21945055</v>
      </c>
      <c r="M13" s="110">
        <v>23152033.024999999</v>
      </c>
      <c r="N13"/>
      <c r="O13"/>
      <c r="P13"/>
      <c r="Q13"/>
      <c r="R13"/>
      <c r="S13"/>
      <c r="T13"/>
      <c r="U13"/>
    </row>
    <row r="14" spans="1:21" ht="12.75" customHeight="1" x14ac:dyDescent="0.25">
      <c r="A14" s="129" t="s">
        <v>729</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730</v>
      </c>
      <c r="B15" s="73"/>
      <c r="C15" s="74"/>
      <c r="D15" s="75"/>
      <c r="E15" s="75"/>
      <c r="F15" s="75"/>
      <c r="G15" s="75"/>
      <c r="H15" s="75"/>
      <c r="I15" s="75"/>
      <c r="J15" s="75"/>
      <c r="K15" s="75"/>
      <c r="L15" s="75"/>
      <c r="M15" s="76"/>
      <c r="N15"/>
      <c r="O15"/>
      <c r="P15"/>
      <c r="Q15"/>
      <c r="R15"/>
      <c r="S15"/>
      <c r="T15"/>
      <c r="U15"/>
    </row>
    <row r="16" spans="1:21" ht="12.75" customHeight="1" x14ac:dyDescent="0.25">
      <c r="A16" s="129" t="s">
        <v>731</v>
      </c>
      <c r="B16" s="73"/>
      <c r="C16" s="130">
        <v>-1002191395.24</v>
      </c>
      <c r="D16" s="109"/>
      <c r="E16" s="109"/>
      <c r="F16" s="109"/>
      <c r="G16" s="109"/>
      <c r="H16" s="109"/>
      <c r="I16" s="109"/>
      <c r="J16" s="75">
        <f>SUM(E16:I16)</f>
        <v>0</v>
      </c>
      <c r="K16" s="75">
        <f>IF(D16=0,C16+J16,D16+J16)</f>
        <v>-1002191395.24</v>
      </c>
      <c r="L16" s="109">
        <v>-1077312760.9782002</v>
      </c>
      <c r="M16" s="110">
        <v>-1138645698.8320005</v>
      </c>
      <c r="N16"/>
      <c r="O16"/>
      <c r="P16"/>
      <c r="Q16"/>
      <c r="R16"/>
      <c r="S16"/>
      <c r="T16"/>
      <c r="U16"/>
    </row>
    <row r="17" spans="1:21" ht="12.75" customHeight="1" x14ac:dyDescent="0.25">
      <c r="A17" s="30" t="s">
        <v>566</v>
      </c>
      <c r="B17" s="73"/>
      <c r="C17" s="130">
        <v>-24448557</v>
      </c>
      <c r="D17" s="109"/>
      <c r="E17" s="109"/>
      <c r="F17" s="109"/>
      <c r="G17" s="109"/>
      <c r="H17" s="109"/>
      <c r="I17" s="109"/>
      <c r="J17" s="75">
        <f>SUM(E17:I17)</f>
        <v>0</v>
      </c>
      <c r="K17" s="75">
        <f>IF(D17=0,C17+J17,D17+J17)</f>
        <v>-24448557</v>
      </c>
      <c r="L17" s="109">
        <v>-25903227.635000002</v>
      </c>
      <c r="M17" s="110">
        <v>-27437905.154925</v>
      </c>
      <c r="N17"/>
      <c r="O17"/>
      <c r="P17"/>
      <c r="Q17"/>
      <c r="R17"/>
      <c r="S17"/>
      <c r="T17"/>
      <c r="U17"/>
    </row>
    <row r="18" spans="1:21" ht="12.75" customHeight="1" x14ac:dyDescent="0.25">
      <c r="A18" s="30" t="s">
        <v>1139</v>
      </c>
      <c r="B18" s="73">
        <v>1</v>
      </c>
      <c r="C18" s="130">
        <v>-30804673</v>
      </c>
      <c r="D18" s="109"/>
      <c r="E18" s="109"/>
      <c r="F18" s="109"/>
      <c r="G18" s="109"/>
      <c r="H18" s="109"/>
      <c r="I18" s="109"/>
      <c r="J18" s="75">
        <f>SUM(E18:I18)</f>
        <v>0</v>
      </c>
      <c r="K18" s="75">
        <f>IF(D18=0,C18+J18,D18+J18)</f>
        <v>-30804673</v>
      </c>
      <c r="L18" s="109">
        <v>-25695545.015000001</v>
      </c>
      <c r="M18" s="110">
        <v>-22613584.990825001</v>
      </c>
      <c r="N18"/>
      <c r="O18"/>
      <c r="P18"/>
      <c r="Q18"/>
      <c r="R18"/>
      <c r="S18"/>
      <c r="T18"/>
      <c r="U18"/>
    </row>
    <row r="19" spans="1:21" ht="12.75" customHeight="1" x14ac:dyDescent="0.25">
      <c r="A19" s="162" t="s">
        <v>732</v>
      </c>
      <c r="B19" s="79"/>
      <c r="C19" s="80">
        <f>SUM(C8:C14)+SUM(C16:C18)</f>
        <v>116842947.75999999</v>
      </c>
      <c r="D19" s="81">
        <f t="shared" ref="D19:I19" si="2">SUM(D8:D14)+SUM(D16:D18)</f>
        <v>0</v>
      </c>
      <c r="E19" s="81">
        <f t="shared" si="2"/>
        <v>0</v>
      </c>
      <c r="F19" s="81">
        <f t="shared" si="2"/>
        <v>0</v>
      </c>
      <c r="G19" s="81">
        <f t="shared" si="2"/>
        <v>0</v>
      </c>
      <c r="H19" s="81">
        <f t="shared" si="2"/>
        <v>0</v>
      </c>
      <c r="I19" s="81">
        <f t="shared" si="2"/>
        <v>-500000</v>
      </c>
      <c r="J19" s="81">
        <f>SUM(J8:J18)</f>
        <v>-500000</v>
      </c>
      <c r="K19" s="81">
        <f>SUM(K8:K18)</f>
        <v>116342947.75999999</v>
      </c>
      <c r="L19" s="80">
        <f>SUM(L8:L14)+SUM(L16:L18)</f>
        <v>118490805.88679957</v>
      </c>
      <c r="M19" s="80">
        <f>SUM(M8:M14)+SUM(M16:M18)</f>
        <v>136769849.21057439</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733</v>
      </c>
      <c r="B21" s="73"/>
      <c r="C21" s="74"/>
      <c r="D21" s="75"/>
      <c r="E21" s="75"/>
      <c r="F21" s="75"/>
      <c r="G21" s="75"/>
      <c r="H21" s="75"/>
      <c r="I21" s="75"/>
      <c r="J21" s="75"/>
      <c r="K21" s="75"/>
      <c r="L21" s="75"/>
      <c r="M21" s="76"/>
      <c r="O21"/>
      <c r="P21"/>
      <c r="Q21"/>
      <c r="R21"/>
      <c r="S21"/>
      <c r="T21"/>
      <c r="U21"/>
    </row>
    <row r="22" spans="1:21" ht="12.75" customHeight="1" x14ac:dyDescent="0.25">
      <c r="A22" s="139" t="s">
        <v>725</v>
      </c>
      <c r="B22" s="73"/>
      <c r="C22" s="74"/>
      <c r="D22" s="75"/>
      <c r="E22" s="75"/>
      <c r="F22" s="75"/>
      <c r="G22" s="75"/>
      <c r="H22" s="75"/>
      <c r="I22" s="75"/>
      <c r="J22" s="75"/>
      <c r="K22" s="75"/>
      <c r="L22" s="75"/>
      <c r="M22" s="76"/>
      <c r="O22"/>
      <c r="P22"/>
      <c r="Q22"/>
      <c r="R22"/>
      <c r="S22"/>
      <c r="T22"/>
      <c r="U22"/>
    </row>
    <row r="23" spans="1:21" ht="12.75" customHeight="1" x14ac:dyDescent="0.25">
      <c r="A23" s="129" t="s">
        <v>734</v>
      </c>
      <c r="B23" s="73"/>
      <c r="C23" s="130">
        <v>2500000</v>
      </c>
      <c r="D23" s="109"/>
      <c r="E23" s="109"/>
      <c r="F23" s="109"/>
      <c r="G23" s="109"/>
      <c r="H23" s="109"/>
      <c r="I23" s="109"/>
      <c r="J23" s="75">
        <f>SUM(E23:I23)</f>
        <v>0</v>
      </c>
      <c r="K23" s="75">
        <f>IF(D23=0,C23+J23,D23+J23)</f>
        <v>2500000</v>
      </c>
      <c r="L23" s="109">
        <v>2637500</v>
      </c>
      <c r="M23" s="110">
        <v>2782562.5</v>
      </c>
      <c r="O23"/>
      <c r="P23"/>
      <c r="Q23"/>
      <c r="R23"/>
      <c r="S23"/>
      <c r="T23"/>
      <c r="U23"/>
    </row>
    <row r="24" spans="1:21" ht="12.75" customHeight="1" x14ac:dyDescent="0.25">
      <c r="A24" s="129" t="s">
        <v>735</v>
      </c>
      <c r="B24" s="73"/>
      <c r="C24" s="130">
        <v>0</v>
      </c>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740</v>
      </c>
      <c r="B25" s="115"/>
      <c r="C25" s="130">
        <v>0</v>
      </c>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741</v>
      </c>
      <c r="B26" s="73"/>
      <c r="C26" s="130">
        <v>-5073000</v>
      </c>
      <c r="D26" s="109"/>
      <c r="E26" s="109"/>
      <c r="F26" s="109"/>
      <c r="G26" s="109"/>
      <c r="H26" s="109"/>
      <c r="I26" s="109"/>
      <c r="J26" s="75">
        <f>SUM(E26:I26)</f>
        <v>0</v>
      </c>
      <c r="K26" s="75">
        <f>IF(D26=0,C26+J26,D26+J26)</f>
        <v>-5073000</v>
      </c>
      <c r="L26" s="109">
        <v>-5744000</v>
      </c>
      <c r="M26" s="110">
        <v>-6508000</v>
      </c>
      <c r="O26"/>
      <c r="P26"/>
      <c r="Q26"/>
      <c r="R26"/>
      <c r="S26"/>
      <c r="T26"/>
      <c r="U26"/>
    </row>
    <row r="27" spans="1:21" ht="12.75" customHeight="1" x14ac:dyDescent="0.25">
      <c r="A27" s="139" t="s">
        <v>730</v>
      </c>
      <c r="B27" s="73"/>
      <c r="C27" s="74"/>
      <c r="D27" s="75"/>
      <c r="E27" s="75"/>
      <c r="F27" s="75"/>
      <c r="G27" s="75"/>
      <c r="H27" s="75"/>
      <c r="I27" s="75"/>
      <c r="J27" s="75"/>
      <c r="K27" s="75"/>
      <c r="L27" s="75"/>
      <c r="M27" s="76"/>
      <c r="O27"/>
      <c r="P27"/>
      <c r="Q27"/>
      <c r="R27"/>
      <c r="S27"/>
      <c r="T27"/>
      <c r="U27"/>
    </row>
    <row r="28" spans="1:21" ht="12.75" customHeight="1" x14ac:dyDescent="0.25">
      <c r="A28" s="129" t="s">
        <v>742</v>
      </c>
      <c r="B28" s="73"/>
      <c r="C28" s="130">
        <v>-195199250</v>
      </c>
      <c r="D28" s="109"/>
      <c r="E28" s="109"/>
      <c r="F28" s="109"/>
      <c r="G28" s="109"/>
      <c r="H28" s="109"/>
      <c r="I28" s="109">
        <v>50000000</v>
      </c>
      <c r="J28" s="75">
        <f>SUM(E28:I28)</f>
        <v>50000000</v>
      </c>
      <c r="K28" s="75">
        <f>IF(D28=0,C28+J28,D28+J28)</f>
        <v>-145199250</v>
      </c>
      <c r="L28" s="109">
        <f>-134784850+10000000</f>
        <v>-124784850</v>
      </c>
      <c r="M28" s="110">
        <v>-139902500</v>
      </c>
      <c r="O28"/>
      <c r="P28"/>
      <c r="Q28"/>
      <c r="R28"/>
      <c r="S28"/>
      <c r="T28"/>
      <c r="U28"/>
    </row>
    <row r="29" spans="1:21" ht="12.75" customHeight="1" x14ac:dyDescent="0.25">
      <c r="A29" s="162" t="s">
        <v>743</v>
      </c>
      <c r="B29" s="79"/>
      <c r="C29" s="80">
        <f>SUM(C23:C26)+C28</f>
        <v>-197772250</v>
      </c>
      <c r="D29" s="81">
        <f t="shared" ref="D29:I29" si="3">SUM(D23:D26)+D28</f>
        <v>0</v>
      </c>
      <c r="E29" s="81">
        <f t="shared" si="3"/>
        <v>0</v>
      </c>
      <c r="F29" s="81">
        <f t="shared" si="3"/>
        <v>0</v>
      </c>
      <c r="G29" s="81">
        <f t="shared" si="3"/>
        <v>0</v>
      </c>
      <c r="H29" s="81">
        <f t="shared" si="3"/>
        <v>0</v>
      </c>
      <c r="I29" s="81">
        <f t="shared" si="3"/>
        <v>50000000</v>
      </c>
      <c r="J29" s="81">
        <f>SUM(J23:J28)</f>
        <v>50000000</v>
      </c>
      <c r="K29" s="81">
        <f>SUM(K23:K28)</f>
        <v>-147772250</v>
      </c>
      <c r="L29" s="81">
        <f>SUM(L23:L26)+L28</f>
        <v>-127891350</v>
      </c>
      <c r="M29" s="82">
        <f>SUM(M23:M26)+M28</f>
        <v>-143627937.5</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744</v>
      </c>
      <c r="B31" s="73"/>
      <c r="C31" s="74"/>
      <c r="D31" s="75"/>
      <c r="E31" s="75"/>
      <c r="F31" s="75"/>
      <c r="G31" s="75"/>
      <c r="H31" s="75"/>
      <c r="I31" s="75"/>
      <c r="J31" s="75"/>
      <c r="K31" s="75"/>
      <c r="L31" s="75"/>
      <c r="M31" s="76"/>
      <c r="O31"/>
      <c r="P31"/>
      <c r="Q31"/>
      <c r="R31"/>
      <c r="S31"/>
      <c r="T31"/>
      <c r="U31"/>
    </row>
    <row r="32" spans="1:21" ht="12.75" customHeight="1" x14ac:dyDescent="0.25">
      <c r="A32" s="139" t="s">
        <v>725</v>
      </c>
      <c r="B32" s="73"/>
      <c r="C32" s="74"/>
      <c r="D32" s="75"/>
      <c r="E32" s="75"/>
      <c r="F32" s="75"/>
      <c r="G32" s="75"/>
      <c r="H32" s="75"/>
      <c r="I32" s="75"/>
      <c r="J32" s="75"/>
      <c r="K32" s="75"/>
      <c r="L32" s="75"/>
      <c r="M32" s="76"/>
      <c r="O32"/>
      <c r="P32"/>
      <c r="Q32"/>
      <c r="R32"/>
      <c r="S32"/>
      <c r="T32"/>
      <c r="U32"/>
    </row>
    <row r="33" spans="1:21" ht="12.75" customHeight="1" x14ac:dyDescent="0.25">
      <c r="A33" s="129" t="s">
        <v>745</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746</v>
      </c>
      <c r="B34" s="73"/>
      <c r="C34" s="130">
        <v>90000000</v>
      </c>
      <c r="D34" s="109"/>
      <c r="E34" s="109"/>
      <c r="F34" s="109"/>
      <c r="G34" s="109"/>
      <c r="H34" s="109"/>
      <c r="I34" s="109">
        <v>-50000000</v>
      </c>
      <c r="J34" s="75">
        <f>SUM(E34:I34)</f>
        <v>-50000000</v>
      </c>
      <c r="K34" s="75">
        <f>IF(D34=0,C34+J34,D34+J34)</f>
        <v>40000000</v>
      </c>
      <c r="L34" s="109">
        <v>20000000</v>
      </c>
      <c r="M34" s="110">
        <v>30000000</v>
      </c>
      <c r="O34"/>
      <c r="P34"/>
      <c r="Q34"/>
      <c r="R34"/>
      <c r="S34"/>
      <c r="T34"/>
      <c r="U34"/>
    </row>
    <row r="35" spans="1:21" ht="12.75" customHeight="1" x14ac:dyDescent="0.25">
      <c r="A35" s="129" t="s">
        <v>1140</v>
      </c>
      <c r="B35" s="73"/>
      <c r="C35" s="130">
        <v>1100000</v>
      </c>
      <c r="D35" s="109"/>
      <c r="E35" s="109"/>
      <c r="F35" s="109"/>
      <c r="G35" s="109"/>
      <c r="H35" s="109"/>
      <c r="I35" s="109"/>
      <c r="J35" s="75">
        <f>SUM(E35:I35)</f>
        <v>0</v>
      </c>
      <c r="K35" s="75">
        <f>IF(D35=0,C35+J35,D35+J35)</f>
        <v>1100000</v>
      </c>
      <c r="L35" s="109">
        <v>1100000</v>
      </c>
      <c r="M35" s="110">
        <v>1100000</v>
      </c>
      <c r="O35"/>
      <c r="P35"/>
      <c r="Q35"/>
      <c r="R35"/>
      <c r="S35"/>
      <c r="T35"/>
      <c r="U35"/>
    </row>
    <row r="36" spans="1:21" ht="12.75" customHeight="1" x14ac:dyDescent="0.25">
      <c r="A36" s="139" t="s">
        <v>730</v>
      </c>
      <c r="B36" s="73"/>
      <c r="C36" s="74"/>
      <c r="D36" s="75"/>
      <c r="E36" s="75"/>
      <c r="F36" s="75"/>
      <c r="G36" s="75"/>
      <c r="H36" s="75"/>
      <c r="I36" s="75"/>
      <c r="J36" s="75"/>
      <c r="K36" s="75"/>
      <c r="L36" s="75"/>
      <c r="M36" s="76"/>
      <c r="O36"/>
      <c r="P36"/>
      <c r="Q36"/>
      <c r="R36"/>
      <c r="S36"/>
      <c r="T36"/>
      <c r="U36"/>
    </row>
    <row r="37" spans="1:21" ht="12.75" customHeight="1" x14ac:dyDescent="0.25">
      <c r="A37" s="129" t="s">
        <v>747</v>
      </c>
      <c r="B37" s="73"/>
      <c r="C37" s="130">
        <v>-11056843.930000011</v>
      </c>
      <c r="D37" s="109"/>
      <c r="E37" s="109"/>
      <c r="F37" s="109"/>
      <c r="G37" s="109"/>
      <c r="H37" s="109"/>
      <c r="I37" s="109"/>
      <c r="J37" s="75">
        <f>SUM(E37:I37)</f>
        <v>0</v>
      </c>
      <c r="K37" s="75">
        <f>IF(D37=0,C37+J37,D37+J37)</f>
        <v>-11056843.930000011</v>
      </c>
      <c r="L37" s="109">
        <v>-10783836.87847502</v>
      </c>
      <c r="M37" s="110">
        <v>-14414838.600049101</v>
      </c>
      <c r="O37"/>
      <c r="P37"/>
      <c r="Q37"/>
      <c r="R37"/>
      <c r="S37"/>
      <c r="T37"/>
      <c r="U37"/>
    </row>
    <row r="38" spans="1:21" ht="12.75" customHeight="1" x14ac:dyDescent="0.25">
      <c r="A38" s="162" t="s">
        <v>748</v>
      </c>
      <c r="B38" s="79"/>
      <c r="C38" s="80">
        <f>SUM(C33:C35)+C37</f>
        <v>80043156.069999993</v>
      </c>
      <c r="D38" s="81">
        <f t="shared" ref="D38:I38" si="4">SUM(D33:D35)+D37</f>
        <v>0</v>
      </c>
      <c r="E38" s="81">
        <f t="shared" si="4"/>
        <v>0</v>
      </c>
      <c r="F38" s="81">
        <f t="shared" si="4"/>
        <v>0</v>
      </c>
      <c r="G38" s="81">
        <f t="shared" si="4"/>
        <v>0</v>
      </c>
      <c r="H38" s="81">
        <f t="shared" si="4"/>
        <v>0</v>
      </c>
      <c r="I38" s="81">
        <f t="shared" si="4"/>
        <v>-50000000</v>
      </c>
      <c r="J38" s="81">
        <f>SUM(J33:J37)</f>
        <v>-50000000</v>
      </c>
      <c r="K38" s="81">
        <f>SUM(K33:K37)</f>
        <v>30043156.069999989</v>
      </c>
      <c r="L38" s="81">
        <f>SUM(L33:L35)+L37</f>
        <v>10316163.12152498</v>
      </c>
      <c r="M38" s="82">
        <f>SUM(M33:M35)+M37</f>
        <v>16685161.399950899</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749</v>
      </c>
      <c r="B40" s="73"/>
      <c r="C40" s="140">
        <f>C19+C29+C38</f>
        <v>-886146.17000001669</v>
      </c>
      <c r="D40" s="141">
        <f t="shared" ref="D40:M40" si="5">D19+D29+D38</f>
        <v>0</v>
      </c>
      <c r="E40" s="141">
        <f t="shared" si="5"/>
        <v>0</v>
      </c>
      <c r="F40" s="141">
        <f t="shared" si="5"/>
        <v>0</v>
      </c>
      <c r="G40" s="141">
        <f t="shared" si="5"/>
        <v>0</v>
      </c>
      <c r="H40" s="141">
        <f t="shared" si="5"/>
        <v>0</v>
      </c>
      <c r="I40" s="141">
        <f t="shared" si="5"/>
        <v>-500000</v>
      </c>
      <c r="J40" s="141">
        <f t="shared" si="5"/>
        <v>-500000</v>
      </c>
      <c r="K40" s="141">
        <f t="shared" si="5"/>
        <v>-1386146.1700000204</v>
      </c>
      <c r="L40" s="141">
        <f t="shared" si="5"/>
        <v>915619.00832455419</v>
      </c>
      <c r="M40" s="142">
        <f t="shared" si="5"/>
        <v>9827073.1105252877</v>
      </c>
      <c r="O40"/>
      <c r="P40"/>
      <c r="Q40"/>
      <c r="R40"/>
      <c r="S40"/>
      <c r="T40"/>
      <c r="U40"/>
    </row>
    <row r="41" spans="1:21" ht="12.75" customHeight="1" x14ac:dyDescent="0.25">
      <c r="A41" s="129" t="s">
        <v>750</v>
      </c>
      <c r="B41" s="73">
        <v>2</v>
      </c>
      <c r="C41" s="130">
        <v>12342983</v>
      </c>
      <c r="D41" s="109"/>
      <c r="E41" s="109"/>
      <c r="F41" s="109"/>
      <c r="G41" s="109"/>
      <c r="H41" s="109"/>
      <c r="I41" s="109">
        <f>8056079-12343000</f>
        <v>-4286921</v>
      </c>
      <c r="J41" s="173">
        <f>SUM(E41:I41)</f>
        <v>-4286921</v>
      </c>
      <c r="K41" s="75">
        <f>IF(D41=0,C41+J41,D41+J41)</f>
        <v>8056062</v>
      </c>
      <c r="L41" s="109">
        <v>6669915.8299999796</v>
      </c>
      <c r="M41" s="110">
        <v>7585534.8383245338</v>
      </c>
      <c r="N41"/>
      <c r="O41"/>
      <c r="P41"/>
      <c r="Q41"/>
      <c r="R41"/>
      <c r="S41"/>
      <c r="T41"/>
      <c r="U41"/>
    </row>
    <row r="42" spans="1:21" ht="12.75" customHeight="1" x14ac:dyDescent="0.25">
      <c r="A42" s="175" t="s">
        <v>751</v>
      </c>
      <c r="B42" s="88">
        <v>2</v>
      </c>
      <c r="C42" s="176">
        <f>C40+C41</f>
        <v>11456836.829999983</v>
      </c>
      <c r="D42" s="177">
        <f t="shared" ref="D42:J42" si="6">D40+D41</f>
        <v>0</v>
      </c>
      <c r="E42" s="177">
        <f t="shared" si="6"/>
        <v>0</v>
      </c>
      <c r="F42" s="177">
        <f t="shared" si="6"/>
        <v>0</v>
      </c>
      <c r="G42" s="177">
        <f t="shared" si="6"/>
        <v>0</v>
      </c>
      <c r="H42" s="177">
        <f t="shared" si="6"/>
        <v>0</v>
      </c>
      <c r="I42" s="177">
        <f t="shared" si="6"/>
        <v>-4786921</v>
      </c>
      <c r="J42" s="177">
        <f t="shared" si="6"/>
        <v>-4786921</v>
      </c>
      <c r="K42" s="177">
        <f>K40+K41</f>
        <v>6669915.8299999796</v>
      </c>
      <c r="L42" s="177">
        <f>L40+L41</f>
        <v>7585534.8383245338</v>
      </c>
      <c r="M42" s="178">
        <f>M40+M41</f>
        <v>17412607.94884982</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1050</v>
      </c>
      <c r="B44" s="93"/>
      <c r="C44" s="96"/>
      <c r="D44" s="94"/>
      <c r="E44" s="96"/>
      <c r="F44" s="96"/>
      <c r="G44" s="96"/>
      <c r="H44" s="96"/>
      <c r="I44" s="96"/>
      <c r="J44" s="96"/>
      <c r="K44" s="96"/>
      <c r="L44" s="96"/>
      <c r="M44" s="96"/>
      <c r="N44"/>
      <c r="O44"/>
      <c r="P44"/>
      <c r="Q44"/>
      <c r="R44"/>
      <c r="S44"/>
      <c r="T44"/>
      <c r="U44"/>
    </row>
    <row r="45" spans="1:21" ht="12.75" customHeight="1" x14ac:dyDescent="0.25">
      <c r="A45" s="120" t="s">
        <v>1051</v>
      </c>
      <c r="B45" s="93"/>
      <c r="C45" s="96"/>
      <c r="D45" s="94"/>
      <c r="E45" s="96"/>
      <c r="F45" s="96"/>
      <c r="G45" s="96"/>
      <c r="H45" s="96"/>
      <c r="I45" s="96"/>
      <c r="J45" s="96"/>
      <c r="K45" s="96"/>
      <c r="L45" s="96"/>
      <c r="M45" s="96"/>
      <c r="N45"/>
      <c r="O45"/>
      <c r="P45"/>
      <c r="Q45"/>
      <c r="R45"/>
      <c r="S45"/>
      <c r="T45"/>
      <c r="U45"/>
    </row>
    <row r="46" spans="1:21" ht="12.75" customHeight="1" x14ac:dyDescent="0.25">
      <c r="A46" s="1395" t="s">
        <v>994</v>
      </c>
      <c r="B46" s="1395"/>
      <c r="C46" s="1395"/>
      <c r="D46" s="1395"/>
      <c r="E46" s="1395"/>
      <c r="F46" s="1395"/>
      <c r="G46" s="1395"/>
      <c r="H46" s="1395"/>
      <c r="I46" s="1395"/>
      <c r="J46" s="1395"/>
      <c r="K46" s="1395"/>
      <c r="L46" s="1395"/>
      <c r="M46" s="1395"/>
      <c r="N46"/>
      <c r="O46"/>
      <c r="P46"/>
      <c r="Q46"/>
      <c r="R46"/>
      <c r="S46"/>
      <c r="T46"/>
      <c r="U46"/>
    </row>
    <row r="47" spans="1:21" ht="25.5" customHeight="1" x14ac:dyDescent="0.25">
      <c r="A47" s="1395" t="s">
        <v>1038</v>
      </c>
      <c r="B47" s="1395"/>
      <c r="C47" s="1395"/>
      <c r="D47" s="1395"/>
      <c r="E47" s="1395"/>
      <c r="F47" s="1395"/>
      <c r="G47" s="1395"/>
      <c r="H47" s="1395"/>
      <c r="I47" s="1395"/>
      <c r="J47" s="1395"/>
      <c r="K47" s="1395"/>
      <c r="L47" s="1395"/>
      <c r="M47" s="1395"/>
      <c r="N47"/>
      <c r="O47"/>
      <c r="P47"/>
      <c r="Q47"/>
      <c r="R47"/>
      <c r="S47"/>
      <c r="T47"/>
      <c r="U47"/>
    </row>
    <row r="48" spans="1:21" ht="12.75" customHeight="1" x14ac:dyDescent="0.25">
      <c r="A48" s="1389" t="s">
        <v>1039</v>
      </c>
      <c r="B48" s="1389"/>
      <c r="C48" s="1389"/>
      <c r="D48" s="1389"/>
      <c r="E48" s="1389"/>
      <c r="F48" s="1389"/>
      <c r="G48" s="1389"/>
      <c r="H48" s="1389"/>
      <c r="I48" s="1389"/>
      <c r="J48" s="1389"/>
      <c r="K48" s="1389"/>
      <c r="L48" s="1389"/>
      <c r="M48" s="1389"/>
      <c r="N48"/>
      <c r="O48"/>
      <c r="P48"/>
      <c r="Q48"/>
      <c r="R48"/>
      <c r="S48"/>
      <c r="T48"/>
      <c r="U48"/>
    </row>
    <row r="49" spans="1:21" ht="12.75" customHeight="1" x14ac:dyDescent="0.25">
      <c r="A49" s="1389" t="s">
        <v>1040</v>
      </c>
      <c r="B49" s="1389"/>
      <c r="C49" s="1389"/>
      <c r="D49" s="1389"/>
      <c r="E49" s="1389"/>
      <c r="F49" s="1389"/>
      <c r="G49" s="1389"/>
      <c r="H49" s="1389"/>
      <c r="I49" s="1389"/>
      <c r="J49" s="1389"/>
      <c r="K49" s="1389"/>
      <c r="L49" s="1389"/>
      <c r="M49" s="1389"/>
      <c r="N49"/>
      <c r="O49"/>
      <c r="P49"/>
      <c r="Q49"/>
      <c r="R49"/>
      <c r="S49"/>
      <c r="T49"/>
      <c r="U49"/>
    </row>
    <row r="50" spans="1:21" ht="12.75" customHeight="1" x14ac:dyDescent="0.25">
      <c r="A50" s="99" t="s">
        <v>1041</v>
      </c>
      <c r="B50" s="93"/>
      <c r="C50" s="96"/>
      <c r="D50" s="96"/>
      <c r="E50" s="96"/>
      <c r="F50" s="96"/>
      <c r="G50" s="96"/>
      <c r="H50" s="96"/>
      <c r="I50" s="96"/>
      <c r="J50" s="96"/>
      <c r="K50" s="96"/>
      <c r="L50" s="96"/>
      <c r="M50" s="96"/>
      <c r="N50"/>
      <c r="O50"/>
      <c r="P50"/>
      <c r="Q50"/>
      <c r="R50"/>
      <c r="S50"/>
      <c r="T50"/>
      <c r="U50"/>
    </row>
    <row r="51" spans="1:21" ht="25.5" customHeight="1" x14ac:dyDescent="0.25">
      <c r="A51" s="1389" t="s">
        <v>1042</v>
      </c>
      <c r="B51" s="1389"/>
      <c r="C51" s="1389"/>
      <c r="D51" s="1389"/>
      <c r="E51" s="1389"/>
      <c r="F51" s="1389"/>
      <c r="G51" s="1389"/>
      <c r="H51" s="1389"/>
      <c r="I51" s="1389"/>
      <c r="J51" s="1389"/>
      <c r="K51" s="1389"/>
      <c r="L51" s="1389"/>
      <c r="M51" s="1389"/>
      <c r="N51"/>
      <c r="O51"/>
      <c r="P51"/>
      <c r="Q51"/>
      <c r="R51"/>
      <c r="S51"/>
      <c r="T51"/>
      <c r="U51"/>
    </row>
    <row r="52" spans="1:21" ht="12.75" customHeight="1" x14ac:dyDescent="0.25">
      <c r="A52" s="99" t="s">
        <v>610</v>
      </c>
      <c r="B52" s="93"/>
      <c r="C52" s="96"/>
      <c r="D52" s="96"/>
      <c r="E52" s="96"/>
      <c r="F52" s="96"/>
      <c r="G52" s="96"/>
      <c r="H52" s="96"/>
      <c r="I52" s="96"/>
      <c r="J52" s="96"/>
      <c r="K52" s="96"/>
      <c r="L52" s="96"/>
      <c r="M52" s="96"/>
      <c r="N52"/>
      <c r="O52"/>
      <c r="P52"/>
      <c r="Q52"/>
      <c r="R52"/>
      <c r="S52"/>
      <c r="T52"/>
      <c r="U52"/>
    </row>
    <row r="53" spans="1:21" ht="12.75" customHeight="1" x14ac:dyDescent="0.25">
      <c r="A53" s="1389" t="s">
        <v>611</v>
      </c>
      <c r="B53" s="1389"/>
      <c r="C53" s="1389"/>
      <c r="D53" s="1389"/>
      <c r="E53" s="1389"/>
      <c r="F53" s="1389"/>
      <c r="G53" s="1389"/>
      <c r="H53" s="1389"/>
      <c r="I53" s="1389"/>
      <c r="J53" s="1389"/>
      <c r="K53" s="1389"/>
      <c r="L53" s="1389"/>
      <c r="M53" s="1389"/>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3"/>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L47" sqref="L47:M49"/>
    </sheetView>
  </sheetViews>
  <sheetFormatPr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LIM333 Greater Tzaneen - Table B8 Cash backed reserves/accumulated surplus reconciliation - 27/02/2019</v>
      </c>
      <c r="B1" s="184"/>
      <c r="C1" s="185"/>
    </row>
    <row r="2" spans="1:14" ht="38.25" x14ac:dyDescent="0.25">
      <c r="A2" s="1414" t="str">
        <f>desc</f>
        <v>Description</v>
      </c>
      <c r="B2" s="1414" t="str">
        <f>head27</f>
        <v>Ref</v>
      </c>
      <c r="C2" s="1416" t="str">
        <f>Head2</f>
        <v>Budget Year 2018/19</v>
      </c>
      <c r="D2" s="1417"/>
      <c r="E2" s="1417"/>
      <c r="F2" s="1417"/>
      <c r="G2" s="1417"/>
      <c r="H2" s="1417"/>
      <c r="I2" s="1417"/>
      <c r="J2" s="1417"/>
      <c r="K2" s="1417"/>
      <c r="L2" s="186" t="str">
        <f>Head10</f>
        <v>Budget Year +1 2019/20</v>
      </c>
      <c r="M2" s="187" t="str">
        <f>Head11</f>
        <v>Budget Year +2 2020/21</v>
      </c>
    </row>
    <row r="3" spans="1:14" ht="25.5" x14ac:dyDescent="0.25">
      <c r="A3" s="1415"/>
      <c r="B3" s="1415"/>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5"/>
      <c r="B4" s="1415"/>
      <c r="C4" s="192"/>
      <c r="D4" s="193">
        <v>3</v>
      </c>
      <c r="E4" s="193">
        <v>4</v>
      </c>
      <c r="F4" s="193">
        <v>5</v>
      </c>
      <c r="G4" s="193">
        <v>6</v>
      </c>
      <c r="H4" s="193">
        <v>7</v>
      </c>
      <c r="I4" s="193">
        <v>8</v>
      </c>
      <c r="J4" s="193">
        <v>9</v>
      </c>
      <c r="K4" s="193">
        <v>10</v>
      </c>
      <c r="L4" s="193"/>
      <c r="M4" s="194"/>
    </row>
    <row r="5" spans="1:14" x14ac:dyDescent="0.25">
      <c r="A5" s="195" t="s">
        <v>605</v>
      </c>
      <c r="B5" s="196"/>
      <c r="C5" s="197" t="s">
        <v>548</v>
      </c>
      <c r="D5" s="198" t="s">
        <v>549</v>
      </c>
      <c r="E5" s="198" t="s">
        <v>550</v>
      </c>
      <c r="F5" s="199" t="s">
        <v>551</v>
      </c>
      <c r="G5" s="199" t="s">
        <v>552</v>
      </c>
      <c r="H5" s="199" t="s">
        <v>553</v>
      </c>
      <c r="I5" s="200" t="s">
        <v>554</v>
      </c>
      <c r="J5" s="200" t="s">
        <v>555</v>
      </c>
      <c r="K5" s="200" t="s">
        <v>556</v>
      </c>
      <c r="L5" s="200"/>
      <c r="M5" s="201"/>
    </row>
    <row r="6" spans="1:14" ht="12.75" customHeight="1" x14ac:dyDescent="0.25">
      <c r="A6" s="202" t="s">
        <v>592</v>
      </c>
      <c r="B6" s="203"/>
      <c r="C6" s="204"/>
      <c r="D6" s="138"/>
      <c r="E6" s="138"/>
      <c r="F6" s="138"/>
      <c r="G6" s="138"/>
      <c r="H6" s="138"/>
      <c r="I6" s="138"/>
      <c r="J6" s="138"/>
      <c r="K6" s="138"/>
      <c r="L6" s="138"/>
      <c r="M6" s="205"/>
    </row>
    <row r="7" spans="1:14" ht="12.75" customHeight="1" x14ac:dyDescent="0.25">
      <c r="A7" s="206" t="s">
        <v>590</v>
      </c>
      <c r="B7" s="203">
        <v>1</v>
      </c>
      <c r="C7" s="131">
        <f>'B7-CFlow'!C42</f>
        <v>11456836.829999983</v>
      </c>
      <c r="D7" s="132">
        <f>'B7-CFlow'!D42</f>
        <v>0</v>
      </c>
      <c r="E7" s="132">
        <f>'B7-CFlow'!E42</f>
        <v>0</v>
      </c>
      <c r="F7" s="132">
        <f>'B7-CFlow'!F42</f>
        <v>0</v>
      </c>
      <c r="G7" s="132">
        <f>'B7-CFlow'!G42</f>
        <v>0</v>
      </c>
      <c r="H7" s="132">
        <f>'B7-CFlow'!H42</f>
        <v>0</v>
      </c>
      <c r="I7" s="132">
        <f>'B7-CFlow'!I42</f>
        <v>-4786921</v>
      </c>
      <c r="J7" s="138">
        <f>SUM(E7:I7)</f>
        <v>-4786921</v>
      </c>
      <c r="K7" s="138">
        <f>IF(D7=0,C7+J7,D7+J7)</f>
        <v>6669915.8299999833</v>
      </c>
      <c r="L7" s="132">
        <f>'B7-CFlow'!L42</f>
        <v>7585534.8383245338</v>
      </c>
      <c r="M7" s="133">
        <f>'B7-CFlow'!M42</f>
        <v>17412607.94884982</v>
      </c>
    </row>
    <row r="8" spans="1:14" ht="12.75" customHeight="1" x14ac:dyDescent="0.25">
      <c r="A8" s="129" t="s">
        <v>736</v>
      </c>
      <c r="B8" s="640"/>
      <c r="C8" s="131">
        <f>'B6-FinPos'!C8+'B6-FinPos'!C9-'B6-FinPos'!C31-'B8-ResRecon'!C7</f>
        <v>653.1700000166893</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653.1700000166893</v>
      </c>
      <c r="L8" s="132">
        <f>'B6-FinPos'!L8+'B6-FinPos'!L9-'B6-FinPos'!L31-'B8-ResRecon'!L7</f>
        <v>0</v>
      </c>
      <c r="M8" s="133">
        <f>'B6-FinPos'!M8+'B6-FinPos'!M9-'B6-FinPos'!M31-'B8-ResRecon'!M7</f>
        <v>0</v>
      </c>
    </row>
    <row r="9" spans="1:14" ht="12.75" customHeight="1" x14ac:dyDescent="0.25">
      <c r="A9" s="206" t="s">
        <v>753</v>
      </c>
      <c r="B9" s="203">
        <v>1</v>
      </c>
      <c r="C9" s="131">
        <f>'B6-FinPos'!C18</f>
        <v>45348941.203500003</v>
      </c>
      <c r="D9" s="132">
        <f>'B6-FinPos'!D18</f>
        <v>0</v>
      </c>
      <c r="E9" s="132">
        <f>'B6-FinPos'!E18</f>
        <v>0</v>
      </c>
      <c r="F9" s="132">
        <f>'B6-FinPos'!F18</f>
        <v>0</v>
      </c>
      <c r="G9" s="132">
        <f>'B6-FinPos'!G18</f>
        <v>0</v>
      </c>
      <c r="H9" s="132">
        <f>'B6-FinPos'!H18</f>
        <v>0</v>
      </c>
      <c r="I9" s="132">
        <f>'B6-FinPos'!I18</f>
        <v>0</v>
      </c>
      <c r="J9" s="132">
        <f>SUM(E9:I9)</f>
        <v>0</v>
      </c>
      <c r="K9" s="132">
        <f>IF(D9=0,C9+J9,D9+J9)</f>
        <v>45348941.203500003</v>
      </c>
      <c r="L9" s="132">
        <f>'B6-FinPos'!L18</f>
        <v>51093394.514504999</v>
      </c>
      <c r="M9" s="133">
        <f>'B6-FinPos'!M18</f>
        <v>57601324.792599149</v>
      </c>
    </row>
    <row r="10" spans="1:14" ht="12.75" customHeight="1" x14ac:dyDescent="0.25">
      <c r="A10" s="207" t="s">
        <v>754</v>
      </c>
      <c r="B10" s="208"/>
      <c r="C10" s="209">
        <f t="shared" ref="C10:M10" si="0">SUM(C7:C9)</f>
        <v>56806431.203500003</v>
      </c>
      <c r="D10" s="210">
        <f t="shared" si="0"/>
        <v>0</v>
      </c>
      <c r="E10" s="210">
        <f t="shared" si="0"/>
        <v>0</v>
      </c>
      <c r="F10" s="210">
        <f t="shared" si="0"/>
        <v>0</v>
      </c>
      <c r="G10" s="210">
        <f t="shared" si="0"/>
        <v>0</v>
      </c>
      <c r="H10" s="210">
        <f t="shared" si="0"/>
        <v>0</v>
      </c>
      <c r="I10" s="210">
        <f t="shared" si="0"/>
        <v>-4786921</v>
      </c>
      <c r="J10" s="210">
        <f t="shared" si="0"/>
        <v>-4786921</v>
      </c>
      <c r="K10" s="210">
        <f t="shared" si="0"/>
        <v>52019510.203500003</v>
      </c>
      <c r="L10" s="210">
        <f t="shared" si="0"/>
        <v>58678929.352829531</v>
      </c>
      <c r="M10" s="211">
        <f t="shared" si="0"/>
        <v>75013932.741448969</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1137</v>
      </c>
      <c r="B12" s="203"/>
      <c r="C12" s="204"/>
      <c r="D12" s="138"/>
      <c r="E12" s="138"/>
      <c r="F12" s="138"/>
      <c r="G12" s="138"/>
      <c r="H12" s="138"/>
      <c r="I12" s="138"/>
      <c r="J12" s="138"/>
      <c r="K12" s="138"/>
      <c r="L12" s="138"/>
      <c r="M12" s="205"/>
    </row>
    <row r="13" spans="1:14" ht="12.75" customHeight="1" x14ac:dyDescent="0.25">
      <c r="A13" s="206" t="s">
        <v>755</v>
      </c>
      <c r="B13" s="203"/>
      <c r="C13" s="131">
        <f>'SB2'!C34</f>
        <v>1415052</v>
      </c>
      <c r="D13" s="132">
        <f>'SB2'!D34</f>
        <v>0</v>
      </c>
      <c r="E13" s="132">
        <f>'SB2'!E34</f>
        <v>0</v>
      </c>
      <c r="F13" s="132">
        <f>'SB2'!F34</f>
        <v>0</v>
      </c>
      <c r="G13" s="132">
        <f>'SB2'!G34</f>
        <v>0</v>
      </c>
      <c r="H13" s="132">
        <f>'SB2'!H34</f>
        <v>0</v>
      </c>
      <c r="I13" s="132">
        <f>'SB2'!I34</f>
        <v>0</v>
      </c>
      <c r="J13" s="132">
        <f t="shared" ref="J13:J19" si="1">SUM(E13:I13)</f>
        <v>0</v>
      </c>
      <c r="K13" s="132">
        <f>IF(D13=0,C13+J13,D13+J13)</f>
        <v>1415052</v>
      </c>
      <c r="L13" s="132">
        <f>'SB2'!L34</f>
        <v>1415052</v>
      </c>
      <c r="M13" s="133">
        <f>'SB2'!M34</f>
        <v>1415052</v>
      </c>
    </row>
    <row r="14" spans="1:14" ht="12.75" customHeight="1" x14ac:dyDescent="0.25">
      <c r="A14" s="206" t="s">
        <v>756</v>
      </c>
      <c r="B14" s="203"/>
      <c r="C14" s="130"/>
      <c r="D14" s="109"/>
      <c r="E14" s="109"/>
      <c r="F14" s="109"/>
      <c r="G14" s="109"/>
      <c r="H14" s="109"/>
      <c r="I14" s="109"/>
      <c r="J14" s="132">
        <f t="shared" si="1"/>
        <v>0</v>
      </c>
      <c r="K14" s="132">
        <f>IF(D14=0,C14+J14,D14+J14)</f>
        <v>0</v>
      </c>
      <c r="L14" s="109"/>
      <c r="M14" s="110"/>
      <c r="N14" s="844"/>
    </row>
    <row r="15" spans="1:14" ht="12.75" customHeight="1" x14ac:dyDescent="0.25">
      <c r="A15" s="206" t="s">
        <v>757</v>
      </c>
      <c r="B15" s="203"/>
      <c r="C15" s="130"/>
      <c r="D15" s="130"/>
      <c r="E15" s="130"/>
      <c r="F15" s="130"/>
      <c r="G15" s="130"/>
      <c r="H15" s="130"/>
      <c r="I15" s="130"/>
      <c r="J15" s="132">
        <f t="shared" si="1"/>
        <v>0</v>
      </c>
      <c r="K15" s="132">
        <f>IF(D15=0,C15+J15,D15+J15)</f>
        <v>0</v>
      </c>
      <c r="L15" s="109"/>
      <c r="M15" s="110"/>
    </row>
    <row r="16" spans="1:14" ht="12.75" customHeight="1" x14ac:dyDescent="0.25">
      <c r="A16" s="206" t="s">
        <v>758</v>
      </c>
      <c r="B16" s="203">
        <v>2</v>
      </c>
      <c r="C16" s="131">
        <f>-C40</f>
        <v>-151051383</v>
      </c>
      <c r="D16" s="132">
        <f>-D40</f>
        <v>0</v>
      </c>
      <c r="E16" s="173"/>
      <c r="F16" s="173"/>
      <c r="G16" s="173"/>
      <c r="H16" s="173"/>
      <c r="I16" s="132">
        <f>IF(D16=0,(K16-C16)-SUM(E16:H16),(K16-D16)-SUM(E16:H16))</f>
        <v>6382</v>
      </c>
      <c r="J16" s="138">
        <f t="shared" si="1"/>
        <v>6382</v>
      </c>
      <c r="K16" s="138">
        <f>-K40</f>
        <v>-151045001</v>
      </c>
      <c r="L16" s="132">
        <f>-L40</f>
        <v>-156250634</v>
      </c>
      <c r="M16" s="133">
        <f>-M40</f>
        <v>-161476394</v>
      </c>
    </row>
    <row r="17" spans="1:14" ht="12.75" customHeight="1" x14ac:dyDescent="0.25">
      <c r="A17" s="206" t="s">
        <v>759</v>
      </c>
      <c r="B17" s="203"/>
      <c r="C17" s="130"/>
      <c r="D17" s="109"/>
      <c r="E17" s="109"/>
      <c r="F17" s="109"/>
      <c r="G17" s="109"/>
      <c r="H17" s="109"/>
      <c r="I17" s="109"/>
      <c r="J17" s="138">
        <f t="shared" si="1"/>
        <v>0</v>
      </c>
      <c r="K17" s="138">
        <f>IF(D17=0,C17+J17,D17+J17)</f>
        <v>0</v>
      </c>
      <c r="L17" s="109"/>
      <c r="M17" s="110"/>
    </row>
    <row r="18" spans="1:14" ht="12.75" customHeight="1" x14ac:dyDescent="0.25">
      <c r="A18" s="206" t="s">
        <v>1138</v>
      </c>
      <c r="B18" s="203"/>
      <c r="C18" s="204">
        <f>C50</f>
        <v>45348941.203500003</v>
      </c>
      <c r="D18" s="138">
        <f>D50</f>
        <v>0</v>
      </c>
      <c r="E18" s="173"/>
      <c r="F18" s="173"/>
      <c r="G18" s="173"/>
      <c r="H18" s="173"/>
      <c r="I18" s="132">
        <f>IF(D18=0,(K18-C18)-SUM(E18:H18),(K18-D18)-SUM(E18:H18))</f>
        <v>0</v>
      </c>
      <c r="J18" s="138">
        <f t="shared" si="1"/>
        <v>0</v>
      </c>
      <c r="K18" s="138">
        <f>K50</f>
        <v>45348941.203500003</v>
      </c>
      <c r="L18" s="138">
        <f>L50</f>
        <v>51093394.514504999</v>
      </c>
      <c r="M18" s="205">
        <f>M50</f>
        <v>57601324.792599149</v>
      </c>
    </row>
    <row r="19" spans="1:14" ht="12.75" customHeight="1" x14ac:dyDescent="0.25">
      <c r="A19" s="206" t="s">
        <v>760</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1401</v>
      </c>
      <c r="B20" s="214"/>
      <c r="C20" s="215">
        <f t="shared" ref="C20:M20" si="2">SUM(C13:C19)</f>
        <v>-104287389.7965</v>
      </c>
      <c r="D20" s="216">
        <f t="shared" si="2"/>
        <v>0</v>
      </c>
      <c r="E20" s="216">
        <f t="shared" si="2"/>
        <v>0</v>
      </c>
      <c r="F20" s="216">
        <f t="shared" si="2"/>
        <v>0</v>
      </c>
      <c r="G20" s="216">
        <f t="shared" si="2"/>
        <v>0</v>
      </c>
      <c r="H20" s="216">
        <f t="shared" si="2"/>
        <v>0</v>
      </c>
      <c r="I20" s="216">
        <f t="shared" si="2"/>
        <v>6382</v>
      </c>
      <c r="J20" s="216">
        <f t="shared" si="2"/>
        <v>6382</v>
      </c>
      <c r="K20" s="216">
        <f t="shared" si="2"/>
        <v>-104281007.7965</v>
      </c>
      <c r="L20" s="216">
        <f t="shared" si="2"/>
        <v>-103742187.485495</v>
      </c>
      <c r="M20" s="217">
        <f t="shared" si="2"/>
        <v>-102460017.20740086</v>
      </c>
    </row>
    <row r="21" spans="1:14" ht="12.75" customHeight="1" x14ac:dyDescent="0.25">
      <c r="A21" s="213" t="s">
        <v>761</v>
      </c>
      <c r="B21" s="214"/>
      <c r="C21" s="215">
        <f t="shared" ref="C21:M21" si="3">C10-C20</f>
        <v>161093821</v>
      </c>
      <c r="D21" s="216">
        <f t="shared" si="3"/>
        <v>0</v>
      </c>
      <c r="E21" s="216">
        <f t="shared" si="3"/>
        <v>0</v>
      </c>
      <c r="F21" s="216">
        <f t="shared" si="3"/>
        <v>0</v>
      </c>
      <c r="G21" s="216">
        <f t="shared" si="3"/>
        <v>0</v>
      </c>
      <c r="H21" s="216">
        <f t="shared" si="3"/>
        <v>0</v>
      </c>
      <c r="I21" s="216">
        <f t="shared" si="3"/>
        <v>-4793303</v>
      </c>
      <c r="J21" s="216">
        <f t="shared" si="3"/>
        <v>-4793303</v>
      </c>
      <c r="K21" s="216">
        <f t="shared" si="3"/>
        <v>156300518</v>
      </c>
      <c r="L21" s="216">
        <f t="shared" si="3"/>
        <v>162421116.83832455</v>
      </c>
      <c r="M21" s="217">
        <f t="shared" si="3"/>
        <v>177473949.94884983</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1052</v>
      </c>
      <c r="B23" s="120"/>
      <c r="C23" s="120"/>
      <c r="D23" s="120"/>
      <c r="E23" s="120"/>
      <c r="F23" s="120"/>
      <c r="G23" s="120"/>
      <c r="H23" s="120"/>
      <c r="I23" s="120"/>
      <c r="J23" s="120"/>
      <c r="K23" s="120"/>
      <c r="L23" s="120"/>
      <c r="M23" s="120"/>
      <c r="N23" s="220"/>
    </row>
    <row r="24" spans="1:14" ht="12.75" customHeight="1" x14ac:dyDescent="0.25">
      <c r="A24" s="286" t="s">
        <v>1053</v>
      </c>
      <c r="B24" s="120"/>
      <c r="C24" s="120"/>
      <c r="D24" s="120"/>
      <c r="E24" s="120"/>
      <c r="F24" s="120"/>
      <c r="G24" s="120"/>
      <c r="H24" s="120"/>
      <c r="I24" s="120"/>
      <c r="J24" s="120"/>
      <c r="K24" s="120"/>
      <c r="L24" s="120"/>
      <c r="M24" s="120"/>
      <c r="N24" s="220"/>
    </row>
    <row r="25" spans="1:14" ht="12.75" customHeight="1" x14ac:dyDescent="0.25">
      <c r="A25" s="1285" t="s">
        <v>994</v>
      </c>
      <c r="B25" s="1285"/>
      <c r="C25" s="1285"/>
      <c r="D25" s="1285"/>
      <c r="E25" s="1285"/>
      <c r="F25" s="1285"/>
      <c r="G25" s="1285"/>
      <c r="H25" s="1285"/>
      <c r="I25" s="1285"/>
      <c r="J25" s="1285"/>
      <c r="K25" s="1285"/>
      <c r="L25" s="1285"/>
      <c r="M25" s="1285"/>
      <c r="N25" s="220"/>
    </row>
    <row r="26" spans="1:14" ht="25.5" customHeight="1" x14ac:dyDescent="0.25">
      <c r="A26" s="1285" t="s">
        <v>1038</v>
      </c>
      <c r="B26" s="1285"/>
      <c r="C26" s="1285"/>
      <c r="D26" s="1285"/>
      <c r="E26" s="1285"/>
      <c r="F26" s="1285"/>
      <c r="G26" s="1285"/>
      <c r="H26" s="1285"/>
      <c r="I26" s="1285"/>
      <c r="J26" s="1285"/>
      <c r="K26" s="1285"/>
      <c r="L26" s="1285"/>
      <c r="M26" s="1285"/>
      <c r="N26" s="220"/>
    </row>
    <row r="27" spans="1:14" ht="12.75" customHeight="1" x14ac:dyDescent="0.25">
      <c r="A27" s="100" t="s">
        <v>1039</v>
      </c>
      <c r="B27" s="100"/>
      <c r="C27" s="100"/>
      <c r="D27" s="100"/>
      <c r="E27" s="100"/>
      <c r="F27" s="100"/>
      <c r="G27" s="100"/>
      <c r="H27" s="100"/>
      <c r="I27" s="100"/>
      <c r="J27" s="100"/>
      <c r="K27" s="100"/>
      <c r="L27" s="100"/>
      <c r="M27" s="100"/>
      <c r="N27" s="220"/>
    </row>
    <row r="28" spans="1:14" ht="12.75" customHeight="1" x14ac:dyDescent="0.25">
      <c r="A28" s="1286" t="s">
        <v>1040</v>
      </c>
      <c r="B28" s="1286"/>
      <c r="C28" s="1286"/>
      <c r="D28" s="1286"/>
      <c r="E28" s="1286"/>
      <c r="F28" s="1286"/>
      <c r="G28" s="1286"/>
      <c r="H28" s="1286"/>
      <c r="I28" s="1286"/>
      <c r="J28" s="1286"/>
      <c r="K28" s="1286"/>
      <c r="L28" s="1286"/>
      <c r="M28" s="1286"/>
      <c r="N28" s="220"/>
    </row>
    <row r="29" spans="1:14" ht="12.75" customHeight="1" x14ac:dyDescent="0.25">
      <c r="A29" s="99" t="s">
        <v>1041</v>
      </c>
      <c r="B29" s="93"/>
      <c r="C29" s="96"/>
      <c r="D29" s="96"/>
      <c r="E29" s="96"/>
      <c r="F29" s="96"/>
      <c r="G29" s="96"/>
      <c r="H29" s="96"/>
      <c r="I29" s="96"/>
      <c r="J29" s="96"/>
      <c r="K29" s="96"/>
      <c r="L29" s="96"/>
      <c r="M29" s="96"/>
      <c r="N29" s="220"/>
    </row>
    <row r="30" spans="1:14" ht="12.75" customHeight="1" x14ac:dyDescent="0.25">
      <c r="A30" s="1286" t="s">
        <v>1042</v>
      </c>
      <c r="B30" s="1286"/>
      <c r="C30" s="1286"/>
      <c r="D30" s="1286"/>
      <c r="E30" s="1286"/>
      <c r="F30" s="1286"/>
      <c r="G30" s="1286"/>
      <c r="H30" s="1286"/>
      <c r="I30" s="1286"/>
      <c r="J30" s="1286"/>
      <c r="K30" s="1286"/>
      <c r="L30" s="1286"/>
      <c r="M30" s="1286"/>
      <c r="N30" s="220"/>
    </row>
    <row r="31" spans="1:14" ht="12.75" customHeight="1" x14ac:dyDescent="0.25">
      <c r="A31" s="99" t="s">
        <v>610</v>
      </c>
      <c r="B31" s="93"/>
      <c r="C31" s="96"/>
      <c r="D31" s="96"/>
      <c r="E31" s="96"/>
      <c r="F31" s="96"/>
      <c r="G31" s="96"/>
      <c r="H31" s="96"/>
      <c r="I31" s="96"/>
      <c r="J31" s="96"/>
      <c r="K31" s="96"/>
      <c r="L31" s="96"/>
      <c r="M31" s="96"/>
      <c r="N31" s="220"/>
    </row>
    <row r="32" spans="1:14" ht="12.75" customHeight="1" x14ac:dyDescent="0.25">
      <c r="A32" s="1286" t="s">
        <v>611</v>
      </c>
      <c r="B32" s="1286"/>
      <c r="C32" s="1286"/>
      <c r="D32" s="1286"/>
      <c r="E32" s="1286"/>
      <c r="F32" s="1286"/>
      <c r="G32" s="1286"/>
      <c r="H32" s="1286"/>
      <c r="I32" s="1286"/>
      <c r="J32" s="1286"/>
      <c r="K32" s="1286"/>
      <c r="L32" s="1286"/>
      <c r="M32" s="1286"/>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1418</v>
      </c>
      <c r="B38" s="220"/>
      <c r="C38" s="896">
        <f>IF(ISERROR(ROUND(C43*C44,0)),0,(ROUND(C43*C44,0)))</f>
        <v>328655715</v>
      </c>
      <c r="D38" s="896">
        <f>IF(ISERROR(ROUND(D43*D44,0)),0,(ROUND(D43*D44,0)))</f>
        <v>0</v>
      </c>
      <c r="E38" s="224"/>
      <c r="F38" s="224"/>
      <c r="G38" s="224"/>
      <c r="H38" s="224"/>
      <c r="I38" s="224"/>
      <c r="J38" s="224"/>
      <c r="K38" s="896">
        <f>IF(ISERROR(ROUND(K43*K44,0)),0,(ROUND(K43*K44,0)))</f>
        <v>328649333</v>
      </c>
      <c r="L38" s="896">
        <f>IF(ISERROR(ROUND(L43*L44,0)),0,(ROUND(L43*L44,0)))</f>
        <v>332095752</v>
      </c>
      <c r="M38" s="896">
        <f>IF(ISERROR(ROUND(M43*M44,0)),0,(ROUND(M43*M44,0)))</f>
        <v>335579891</v>
      </c>
    </row>
    <row r="39" spans="1:14" ht="12.75" customHeight="1" x14ac:dyDescent="0.25">
      <c r="A39" s="225" t="s">
        <v>1419</v>
      </c>
      <c r="B39" s="220"/>
      <c r="C39" s="896">
        <f>'SB2'!C32+'SB2'!C33</f>
        <v>177604332</v>
      </c>
      <c r="D39" s="896">
        <f>'SB2'!D32+'SB2'!D33</f>
        <v>0</v>
      </c>
      <c r="E39" s="225"/>
      <c r="F39" s="225"/>
      <c r="G39" s="225"/>
      <c r="H39" s="225"/>
      <c r="I39" s="225"/>
      <c r="J39" s="225"/>
      <c r="K39" s="896">
        <f>'SB2'!K32+'SB2'!K33</f>
        <v>177604332</v>
      </c>
      <c r="L39" s="896">
        <f>'SB2'!L32+'SB2'!L33</f>
        <v>175845118</v>
      </c>
      <c r="M39" s="896">
        <f>'SB2'!M32+'SB2'!M33</f>
        <v>174103497</v>
      </c>
    </row>
    <row r="40" spans="1:14" ht="12.75" customHeight="1" thickBot="1" x14ac:dyDescent="0.3">
      <c r="A40" s="225" t="s">
        <v>769</v>
      </c>
      <c r="B40" s="220"/>
      <c r="C40" s="897">
        <f>C38-C39</f>
        <v>151051383</v>
      </c>
      <c r="D40" s="897">
        <f>D38-D39</f>
        <v>0</v>
      </c>
      <c r="E40" s="224"/>
      <c r="F40" s="224"/>
      <c r="G40" s="224"/>
      <c r="H40" s="224"/>
      <c r="I40" s="224"/>
      <c r="J40" s="224"/>
      <c r="K40" s="897">
        <f>K38-K39</f>
        <v>151045001</v>
      </c>
      <c r="L40" s="897">
        <f>L38-L39</f>
        <v>156250634</v>
      </c>
      <c r="M40" s="897">
        <f>M38-M39</f>
        <v>161476394</v>
      </c>
    </row>
    <row r="41" spans="1:14" ht="12.75" customHeight="1" thickTop="1" x14ac:dyDescent="0.25">
      <c r="A41" s="225"/>
      <c r="B41" s="220"/>
      <c r="C41" s="226"/>
      <c r="D41" s="226"/>
      <c r="E41" s="1199"/>
      <c r="F41" s="1199"/>
      <c r="G41" s="1199"/>
      <c r="H41" s="1199"/>
      <c r="I41" s="1199"/>
      <c r="J41" s="1199"/>
      <c r="K41" s="226"/>
      <c r="L41" s="226"/>
      <c r="M41" s="226"/>
    </row>
    <row r="42" spans="1:14" ht="12.75" customHeight="1" x14ac:dyDescent="0.25">
      <c r="A42" s="227" t="s">
        <v>770</v>
      </c>
      <c r="B42" s="220"/>
      <c r="C42" s="224"/>
      <c r="D42" s="224"/>
      <c r="E42" s="224"/>
      <c r="F42" s="224"/>
      <c r="G42" s="224"/>
      <c r="H42" s="224"/>
      <c r="I42" s="224"/>
      <c r="J42" s="224"/>
      <c r="K42" s="224"/>
      <c r="L42" s="224"/>
      <c r="M42" s="224"/>
    </row>
    <row r="43" spans="1:14" ht="12.75" customHeight="1" x14ac:dyDescent="0.25">
      <c r="A43" s="225" t="s">
        <v>1417</v>
      </c>
      <c r="B43" s="220"/>
      <c r="C43" s="896">
        <f>'B6-FinPos'!C10+'B6-FinPos'!C11+'B6-FinPos'!C17</f>
        <v>337821906.53890002</v>
      </c>
      <c r="D43" s="896">
        <f>'B6-FinPos'!D10+'B6-FinPos'!D11+'B6-FinPos'!D17</f>
        <v>0</v>
      </c>
      <c r="E43" s="1199"/>
      <c r="F43" s="1199"/>
      <c r="G43" s="1199"/>
      <c r="H43" s="1199"/>
      <c r="I43" s="1199"/>
      <c r="J43" s="1199"/>
      <c r="K43" s="896">
        <f>'B6-FinPos'!K10+'B6-FinPos'!K11+'B6-FinPos'!K17</f>
        <v>337821906.53890002</v>
      </c>
      <c r="L43" s="896">
        <f>'B6-FinPos'!L10+'B6-FinPos'!L11+'B6-FinPos'!L17</f>
        <v>341357886.42322505</v>
      </c>
      <c r="M43" s="896">
        <f>'B6-FinPos'!M10+'B6-FinPos'!M11+'B6-FinPos'!M17</f>
        <v>344939198.23378509</v>
      </c>
    </row>
    <row r="44" spans="1:14" ht="12.75" customHeight="1" x14ac:dyDescent="0.25">
      <c r="A44" s="220" t="s">
        <v>1420</v>
      </c>
      <c r="B44" s="220"/>
      <c r="C44" s="226">
        <f>IF(ISERROR('SB6'!G10),0,('SB6'!G10))</f>
        <v>0.97286679330787096</v>
      </c>
      <c r="D44" s="226">
        <f>IF(ISERROR('SB6'!H10),0,('SB6'!H10))</f>
        <v>0</v>
      </c>
      <c r="E44" s="225"/>
      <c r="F44" s="225"/>
      <c r="G44" s="225"/>
      <c r="H44" s="225"/>
      <c r="I44" s="225"/>
      <c r="J44" s="225"/>
      <c r="K44" s="226">
        <f>IF(ISERROR('SB6'!I10),0,('SB6'!I10))</f>
        <v>0.97284790296271606</v>
      </c>
      <c r="L44" s="226">
        <f>IF(ISERROR('SB6'!J10),0,('SB6'!J10))</f>
        <v>0.97286679330787096</v>
      </c>
      <c r="M44" s="226">
        <f>IF(ISERROR('SB6'!K10),0,('SB6'!K10))</f>
        <v>0.97286679269975707</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7" t="s">
        <v>1918</v>
      </c>
      <c r="B47" s="229"/>
      <c r="C47" s="230">
        <v>11238398.136</v>
      </c>
      <c r="D47" s="230"/>
      <c r="E47" s="225"/>
      <c r="F47" s="225"/>
      <c r="G47" s="225"/>
      <c r="H47" s="225"/>
      <c r="I47" s="225"/>
      <c r="J47" s="225"/>
      <c r="K47" s="230">
        <v>11238398.136</v>
      </c>
      <c r="L47" s="230">
        <v>12137469.986880001</v>
      </c>
      <c r="M47" s="230">
        <v>13108467.585830402</v>
      </c>
    </row>
    <row r="48" spans="1:14" ht="12.75" customHeight="1" x14ac:dyDescent="0.25">
      <c r="A48" s="231" t="s">
        <v>1919</v>
      </c>
      <c r="B48" s="229"/>
      <c r="C48" s="230">
        <v>20550543.067499999</v>
      </c>
      <c r="D48" s="230"/>
      <c r="E48" s="225"/>
      <c r="F48" s="225"/>
      <c r="G48" s="225"/>
      <c r="H48" s="225"/>
      <c r="I48" s="225"/>
      <c r="J48" s="225"/>
      <c r="K48" s="230">
        <v>20550543.067499999</v>
      </c>
      <c r="L48" s="230">
        <v>23633124.527624998</v>
      </c>
      <c r="M48" s="230">
        <v>27178093.206768747</v>
      </c>
    </row>
    <row r="49" spans="1:13" ht="12.75" customHeight="1" x14ac:dyDescent="0.25">
      <c r="A49" s="231" t="s">
        <v>1919</v>
      </c>
      <c r="B49" s="229"/>
      <c r="C49" s="230">
        <v>13560000</v>
      </c>
      <c r="D49" s="230"/>
      <c r="E49" s="225"/>
      <c r="F49" s="225"/>
      <c r="G49" s="225"/>
      <c r="H49" s="225"/>
      <c r="I49" s="225"/>
      <c r="J49" s="225"/>
      <c r="K49" s="230">
        <v>13560000</v>
      </c>
      <c r="L49" s="230">
        <v>15322800</v>
      </c>
      <c r="M49" s="230">
        <v>17314764</v>
      </c>
    </row>
    <row r="50" spans="1:13" ht="12.75" customHeight="1" thickBot="1" x14ac:dyDescent="0.3">
      <c r="A50" s="220"/>
      <c r="B50" s="220"/>
      <c r="C50" s="897">
        <f>SUM(C47:C49)</f>
        <v>45348941.203500003</v>
      </c>
      <c r="D50" s="897">
        <f>SUM(D47:D49)</f>
        <v>0</v>
      </c>
      <c r="E50" s="224"/>
      <c r="F50" s="224"/>
      <c r="G50" s="224"/>
      <c r="H50" s="224"/>
      <c r="I50" s="224"/>
      <c r="J50" s="224"/>
      <c r="K50" s="897">
        <f>SUM(K47:K49)</f>
        <v>45348941.203500003</v>
      </c>
      <c r="L50" s="897">
        <f>SUM(L47:L49)</f>
        <v>51093394.514504999</v>
      </c>
      <c r="M50" s="897">
        <f>SUM(M47:M49)</f>
        <v>57601324.792599149</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'SB2'!A57</f>
        <v>Housing Development Fund</v>
      </c>
      <c r="B53" s="225"/>
      <c r="C53" s="230">
        <f>'SB2'!C57</f>
        <v>0</v>
      </c>
      <c r="D53" s="230">
        <f>'SB2'!D57</f>
        <v>0</v>
      </c>
      <c r="E53" s="225"/>
      <c r="F53" s="225"/>
      <c r="G53" s="225"/>
      <c r="H53" s="225"/>
      <c r="I53" s="225"/>
      <c r="J53" s="225"/>
      <c r="K53" s="230">
        <f>'SB2'!K57</f>
        <v>0</v>
      </c>
      <c r="L53" s="230">
        <f>'SB2'!L57</f>
        <v>0</v>
      </c>
      <c r="M53" s="230">
        <f>'SB2'!M57</f>
        <v>0</v>
      </c>
    </row>
    <row r="54" spans="1:13" ht="12.75" customHeight="1" x14ac:dyDescent="0.25">
      <c r="A54" s="231" t="str">
        <f>'SB2'!A58</f>
        <v>Capital replacement</v>
      </c>
      <c r="B54" s="220"/>
      <c r="C54" s="230">
        <f>'SB2'!C58</f>
        <v>0</v>
      </c>
      <c r="D54" s="230">
        <f>'SB2'!D58</f>
        <v>0</v>
      </c>
      <c r="E54" s="225"/>
      <c r="F54" s="225"/>
      <c r="G54" s="225"/>
      <c r="H54" s="225"/>
      <c r="I54" s="225"/>
      <c r="J54" s="225"/>
      <c r="K54" s="230">
        <f>'SB2'!K58</f>
        <v>0</v>
      </c>
      <c r="L54" s="230">
        <f>'SB2'!L58</f>
        <v>0</v>
      </c>
      <c r="M54" s="230">
        <f>'SB2'!M58</f>
        <v>0</v>
      </c>
    </row>
    <row r="55" spans="1:13" ht="12.75" customHeight="1" x14ac:dyDescent="0.25">
      <c r="A55" s="231" t="str">
        <f>'SB2'!A59</f>
        <v>Self-insurance</v>
      </c>
      <c r="B55" s="220"/>
      <c r="C55" s="230">
        <f>'SB2'!C59</f>
        <v>0</v>
      </c>
      <c r="D55" s="230">
        <f>'SB2'!D59</f>
        <v>0</v>
      </c>
      <c r="E55" s="225"/>
      <c r="F55" s="225"/>
      <c r="G55" s="225"/>
      <c r="H55" s="225"/>
      <c r="I55" s="225"/>
      <c r="J55" s="225"/>
      <c r="K55" s="230">
        <f>'SB2'!K59</f>
        <v>0</v>
      </c>
      <c r="L55" s="230">
        <f>'SB2'!L59</f>
        <v>0</v>
      </c>
      <c r="M55" s="230">
        <f>'SB2'!M59</f>
        <v>0</v>
      </c>
    </row>
    <row r="56" spans="1:13" ht="12.75" customHeight="1" x14ac:dyDescent="0.25">
      <c r="A56" s="231" t="str">
        <f>'SB2'!A60</f>
        <v>Other reserves (list)</v>
      </c>
      <c r="B56" s="220"/>
      <c r="C56" s="230">
        <f>'SB2'!C60</f>
        <v>0</v>
      </c>
      <c r="D56" s="230">
        <f>'SB2'!D60</f>
        <v>0</v>
      </c>
      <c r="E56" s="225"/>
      <c r="F56" s="225"/>
      <c r="G56" s="225"/>
      <c r="H56" s="225"/>
      <c r="I56" s="225"/>
      <c r="J56" s="225"/>
      <c r="K56" s="230">
        <f>'SB2'!K60</f>
        <v>0</v>
      </c>
      <c r="L56" s="230">
        <f>'SB2'!L60</f>
        <v>0</v>
      </c>
      <c r="M56" s="230">
        <f>'SB2'!M60</f>
        <v>0</v>
      </c>
    </row>
    <row r="57" spans="1:13" ht="12.75" customHeight="1" thickBot="1" x14ac:dyDescent="0.3">
      <c r="A57" s="220"/>
      <c r="B57" s="220"/>
      <c r="C57" s="897">
        <f>SUM(C53:C56)</f>
        <v>0</v>
      </c>
      <c r="D57" s="897">
        <f>SUM(D53:D56)</f>
        <v>0</v>
      </c>
      <c r="E57" s="225"/>
      <c r="F57" s="225"/>
      <c r="G57" s="225"/>
      <c r="H57" s="225"/>
      <c r="I57" s="225"/>
      <c r="J57" s="225"/>
      <c r="K57" s="897">
        <f>SUM(K53:K56)</f>
        <v>0</v>
      </c>
      <c r="L57" s="897">
        <f>SUM(L53:L56)</f>
        <v>0</v>
      </c>
      <c r="M57" s="897">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13" activePane="bottomRight" state="frozen"/>
      <selection activeCell="C6" sqref="C6"/>
      <selection pane="topRight" activeCell="C6" sqref="C6"/>
      <selection pane="bottomLeft" activeCell="C6" sqref="C6"/>
      <selection pane="bottomRight" activeCell="I227" sqref="I227"/>
    </sheetView>
  </sheetViews>
  <sheetFormatPr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LIM333 Greater Tzaneen - Table B9 Asset Management - 27/02/2019</v>
      </c>
      <c r="B1" s="5"/>
      <c r="C1" s="58"/>
    </row>
    <row r="2" spans="1:14"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139" t="s">
        <v>771</v>
      </c>
      <c r="B6" s="73"/>
      <c r="C6" s="140"/>
      <c r="D6" s="75"/>
      <c r="E6" s="75"/>
      <c r="F6" s="75"/>
      <c r="G6" s="75"/>
      <c r="H6" s="75"/>
      <c r="I6" s="75"/>
      <c r="J6" s="75"/>
      <c r="K6" s="141"/>
      <c r="L6" s="141"/>
      <c r="M6" s="142"/>
      <c r="N6" s="128"/>
    </row>
    <row r="7" spans="1:14" ht="12.75" customHeight="1" x14ac:dyDescent="0.25">
      <c r="A7" s="233" t="s">
        <v>1132</v>
      </c>
      <c r="B7" s="73">
        <v>1</v>
      </c>
      <c r="C7" s="140">
        <f>C17+C20+C21+C24+C27+C28+SUM(C31:C37)</f>
        <v>67864362.730000019</v>
      </c>
      <c r="D7" s="141">
        <f t="shared" ref="D7:M7" si="0">D17+D20+D21+D24+D27+D28+SUM(D31:D37)</f>
        <v>0</v>
      </c>
      <c r="E7" s="141">
        <f t="shared" si="0"/>
        <v>0</v>
      </c>
      <c r="F7" s="141">
        <f t="shared" si="0"/>
        <v>0</v>
      </c>
      <c r="G7" s="141">
        <f t="shared" si="0"/>
        <v>0</v>
      </c>
      <c r="H7" s="141">
        <f t="shared" si="0"/>
        <v>0</v>
      </c>
      <c r="I7" s="141">
        <f t="shared" si="0"/>
        <v>8958524.2700000033</v>
      </c>
      <c r="J7" s="141">
        <f t="shared" si="0"/>
        <v>8958524.2700000033</v>
      </c>
      <c r="K7" s="141">
        <f t="shared" si="0"/>
        <v>76822887.00000003</v>
      </c>
      <c r="L7" s="141">
        <f t="shared" si="0"/>
        <v>86557122</v>
      </c>
      <c r="M7" s="142">
        <f t="shared" si="0"/>
        <v>87850786</v>
      </c>
      <c r="N7" s="128"/>
    </row>
    <row r="8" spans="1:14" ht="12.75" customHeight="1" x14ac:dyDescent="0.25">
      <c r="A8" s="1249" t="s">
        <v>1591</v>
      </c>
      <c r="B8" s="73"/>
      <c r="C8" s="131">
        <f>SB18a!C9</f>
        <v>35864362.730000019</v>
      </c>
      <c r="D8" s="132">
        <f>SB18a!D9</f>
        <v>0</v>
      </c>
      <c r="E8" s="132">
        <f>SB18a!E9</f>
        <v>0</v>
      </c>
      <c r="F8" s="132">
        <f>SB18a!F9</f>
        <v>0</v>
      </c>
      <c r="G8" s="132">
        <f>SB18a!G9</f>
        <v>0</v>
      </c>
      <c r="H8" s="132">
        <f>SB18a!H9</f>
        <v>0</v>
      </c>
      <c r="I8" s="132">
        <f>SB18a!I9</f>
        <v>-3471475.7299999967</v>
      </c>
      <c r="J8" s="171">
        <f>SB18a!J9</f>
        <v>-3471475.7299999967</v>
      </c>
      <c r="K8" s="171">
        <f>SB18a!K9</f>
        <v>32392887.000000022</v>
      </c>
      <c r="L8" s="132">
        <f>SB18a!L9</f>
        <v>67607122</v>
      </c>
      <c r="M8" s="133">
        <f>SB18a!M9</f>
        <v>67500786</v>
      </c>
      <c r="N8" s="128"/>
    </row>
    <row r="9" spans="1:14" ht="12.75" customHeight="1" x14ac:dyDescent="0.25">
      <c r="A9" s="1249" t="s">
        <v>1595</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49" t="s">
        <v>1599</v>
      </c>
      <c r="B10" s="73"/>
      <c r="C10" s="131">
        <f>SB18a!C18</f>
        <v>29500000</v>
      </c>
      <c r="D10" s="132">
        <f>SB18a!D18</f>
        <v>0</v>
      </c>
      <c r="E10" s="132">
        <f>SB18a!E18</f>
        <v>0</v>
      </c>
      <c r="F10" s="132">
        <f>SB18a!F18</f>
        <v>0</v>
      </c>
      <c r="G10" s="132">
        <f>SB18a!G18</f>
        <v>0</v>
      </c>
      <c r="H10" s="132">
        <f>SB18a!H18</f>
        <v>0</v>
      </c>
      <c r="I10" s="132">
        <f>SB18a!I18</f>
        <v>10800000</v>
      </c>
      <c r="J10" s="171">
        <f>SB18a!J18</f>
        <v>10800000</v>
      </c>
      <c r="K10" s="171">
        <f>SB18a!K18</f>
        <v>40300000</v>
      </c>
      <c r="L10" s="132">
        <f>SB18a!L18</f>
        <v>18950000</v>
      </c>
      <c r="M10" s="133">
        <f>SB18a!M18</f>
        <v>20350000</v>
      </c>
      <c r="N10" s="128"/>
    </row>
    <row r="11" spans="1:14" ht="12.75" customHeight="1" x14ac:dyDescent="0.25">
      <c r="A11" s="1249" t="s">
        <v>1608</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49" t="s">
        <v>1618</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49" t="s">
        <v>1623</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49" t="s">
        <v>1630</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49" t="s">
        <v>1634</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49" t="s">
        <v>1639</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0" t="s">
        <v>772</v>
      </c>
      <c r="B17" s="73"/>
      <c r="C17" s="711">
        <f>SUM(C8:C16)</f>
        <v>65364362.730000019</v>
      </c>
      <c r="D17" s="265">
        <f t="shared" ref="D17:M17" si="1">SUM(D8:D16)</f>
        <v>0</v>
      </c>
      <c r="E17" s="265">
        <f t="shared" si="1"/>
        <v>0</v>
      </c>
      <c r="F17" s="265">
        <f t="shared" si="1"/>
        <v>0</v>
      </c>
      <c r="G17" s="265">
        <f t="shared" si="1"/>
        <v>0</v>
      </c>
      <c r="H17" s="265">
        <f t="shared" si="1"/>
        <v>0</v>
      </c>
      <c r="I17" s="265">
        <f t="shared" si="1"/>
        <v>7328524.2700000033</v>
      </c>
      <c r="J17" s="587">
        <f t="shared" si="1"/>
        <v>7328524.2700000033</v>
      </c>
      <c r="K17" s="587">
        <f t="shared" si="1"/>
        <v>72692887.00000003</v>
      </c>
      <c r="L17" s="265">
        <f t="shared" si="1"/>
        <v>86557122</v>
      </c>
      <c r="M17" s="266">
        <f t="shared" si="1"/>
        <v>87850786</v>
      </c>
      <c r="N17" s="128"/>
    </row>
    <row r="18" spans="1:14" ht="12.75" customHeight="1" x14ac:dyDescent="0.25">
      <c r="A18" s="1251" t="s">
        <v>1644</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51" t="s">
        <v>1662</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50" t="s">
        <v>1643</v>
      </c>
      <c r="B20" s="73"/>
      <c r="C20" s="711">
        <f>SUM(C18:C19)</f>
        <v>0</v>
      </c>
      <c r="D20" s="265">
        <f t="shared" ref="D20:M20" si="2">SUM(D18:D19)</f>
        <v>0</v>
      </c>
      <c r="E20" s="265">
        <f t="shared" si="2"/>
        <v>0</v>
      </c>
      <c r="F20" s="265">
        <f t="shared" si="2"/>
        <v>0</v>
      </c>
      <c r="G20" s="265">
        <f t="shared" si="2"/>
        <v>0</v>
      </c>
      <c r="H20" s="265">
        <f t="shared" si="2"/>
        <v>0</v>
      </c>
      <c r="I20" s="265">
        <f t="shared" si="2"/>
        <v>0</v>
      </c>
      <c r="J20" s="587">
        <f t="shared" si="2"/>
        <v>0</v>
      </c>
      <c r="K20" s="587">
        <f t="shared" si="2"/>
        <v>0</v>
      </c>
      <c r="L20" s="265">
        <f t="shared" si="2"/>
        <v>0</v>
      </c>
      <c r="M20" s="266">
        <f t="shared" si="2"/>
        <v>0</v>
      </c>
      <c r="N20" s="128"/>
    </row>
    <row r="21" spans="1:14" ht="12.75" customHeight="1" x14ac:dyDescent="0.25">
      <c r="A21" s="1252" t="s">
        <v>1386</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1" t="s">
        <v>1670</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51" t="s">
        <v>1673</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50" t="s">
        <v>774</v>
      </c>
      <c r="B24" s="73"/>
      <c r="C24" s="711">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51" t="s">
        <v>1674</v>
      </c>
      <c r="B25" s="73"/>
      <c r="C25" s="131">
        <f>SB18a!C121</f>
        <v>0</v>
      </c>
      <c r="D25" s="132">
        <f>SB18a!D121</f>
        <v>0</v>
      </c>
      <c r="E25" s="132">
        <f>SB18a!E121</f>
        <v>0</v>
      </c>
      <c r="F25" s="132">
        <f>SB18a!F121</f>
        <v>0</v>
      </c>
      <c r="G25" s="132">
        <f>SB18a!G121</f>
        <v>0</v>
      </c>
      <c r="H25" s="132">
        <f>SB18a!H121</f>
        <v>0</v>
      </c>
      <c r="I25" s="132">
        <f>SB18a!I121</f>
        <v>230000</v>
      </c>
      <c r="J25" s="171">
        <f>SB18a!J121</f>
        <v>230000</v>
      </c>
      <c r="K25" s="171">
        <f>SB18a!K121</f>
        <v>230000</v>
      </c>
      <c r="L25" s="132">
        <f>SB18a!L121</f>
        <v>0</v>
      </c>
      <c r="M25" s="133">
        <f>SB18a!M121</f>
        <v>0</v>
      </c>
      <c r="N25" s="128"/>
    </row>
    <row r="26" spans="1:14" ht="12.75" customHeight="1" x14ac:dyDescent="0.25">
      <c r="A26" s="1251" t="s">
        <v>621</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50" t="s">
        <v>1387</v>
      </c>
      <c r="B27" s="73">
        <v>6</v>
      </c>
      <c r="C27" s="711">
        <f>SUM(C25:C26)</f>
        <v>0</v>
      </c>
      <c r="D27" s="265">
        <f t="shared" ref="D27:M27" si="4">SUM(D25:D26)</f>
        <v>0</v>
      </c>
      <c r="E27" s="265">
        <f t="shared" si="4"/>
        <v>0</v>
      </c>
      <c r="F27" s="265">
        <f t="shared" si="4"/>
        <v>0</v>
      </c>
      <c r="G27" s="265">
        <f t="shared" si="4"/>
        <v>0</v>
      </c>
      <c r="H27" s="265">
        <f t="shared" si="4"/>
        <v>0</v>
      </c>
      <c r="I27" s="265">
        <f t="shared" si="4"/>
        <v>230000</v>
      </c>
      <c r="J27" s="587">
        <f t="shared" si="4"/>
        <v>230000</v>
      </c>
      <c r="K27" s="587">
        <f t="shared" si="4"/>
        <v>230000</v>
      </c>
      <c r="L27" s="265">
        <f t="shared" si="4"/>
        <v>0</v>
      </c>
      <c r="M27" s="266">
        <f t="shared" si="4"/>
        <v>0</v>
      </c>
      <c r="N27" s="128"/>
    </row>
    <row r="28" spans="1:14" ht="12.75" customHeight="1" x14ac:dyDescent="0.25">
      <c r="A28" s="1252" t="s">
        <v>1687</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51" t="s">
        <v>1689</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1" t="s">
        <v>1690</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50" t="s">
        <v>1688</v>
      </c>
      <c r="B31" s="73"/>
      <c r="C31" s="711">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53" t="s">
        <v>1697</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x14ac:dyDescent="0.25">
      <c r="A33" s="1252" t="s">
        <v>1698</v>
      </c>
      <c r="B33" s="73"/>
      <c r="C33" s="131">
        <f>SB18a!C154</f>
        <v>700000</v>
      </c>
      <c r="D33" s="132">
        <f>SB18a!D154</f>
        <v>0</v>
      </c>
      <c r="E33" s="132">
        <f>SB18a!E154</f>
        <v>0</v>
      </c>
      <c r="F33" s="132">
        <f>SB18a!F154</f>
        <v>0</v>
      </c>
      <c r="G33" s="132">
        <f>SB18a!G154</f>
        <v>0</v>
      </c>
      <c r="H33" s="132">
        <f>SB18a!H154</f>
        <v>0</v>
      </c>
      <c r="I33" s="132">
        <f>SB18a!I154</f>
        <v>-504687</v>
      </c>
      <c r="J33" s="171">
        <f>SB18a!J154</f>
        <v>-504687</v>
      </c>
      <c r="K33" s="171">
        <f>SB18a!K154</f>
        <v>195313</v>
      </c>
      <c r="L33" s="132">
        <f>SB18a!L154</f>
        <v>0</v>
      </c>
      <c r="M33" s="133">
        <f>SB18a!M154</f>
        <v>0</v>
      </c>
      <c r="N33" s="128"/>
    </row>
    <row r="34" spans="1:14" ht="12.75" customHeight="1" x14ac:dyDescent="0.25">
      <c r="A34" s="1252" t="s">
        <v>1699</v>
      </c>
      <c r="B34" s="73"/>
      <c r="C34" s="131">
        <f>SB18a!C157</f>
        <v>300000</v>
      </c>
      <c r="D34" s="132">
        <f>SB18a!D157</f>
        <v>0</v>
      </c>
      <c r="E34" s="132">
        <f>SB18a!E157</f>
        <v>0</v>
      </c>
      <c r="F34" s="132">
        <f>SB18a!F157</f>
        <v>0</v>
      </c>
      <c r="G34" s="132">
        <f>SB18a!G157</f>
        <v>0</v>
      </c>
      <c r="H34" s="132">
        <f>SB18a!H157</f>
        <v>0</v>
      </c>
      <c r="I34" s="132">
        <f>SB18a!I157</f>
        <v>48000</v>
      </c>
      <c r="J34" s="171">
        <f>SB18a!J157</f>
        <v>48000</v>
      </c>
      <c r="K34" s="171">
        <f>SB18a!K157</f>
        <v>348000</v>
      </c>
      <c r="L34" s="132">
        <f>SB18a!L157</f>
        <v>0</v>
      </c>
      <c r="M34" s="133">
        <f>SB18a!M157</f>
        <v>0</v>
      </c>
      <c r="N34" s="128"/>
    </row>
    <row r="35" spans="1:14" ht="12.75" customHeight="1" x14ac:dyDescent="0.25">
      <c r="A35" s="1253" t="s">
        <v>1700</v>
      </c>
      <c r="B35" s="73"/>
      <c r="C35" s="131">
        <f>SB18a!C160</f>
        <v>1500000</v>
      </c>
      <c r="D35" s="132">
        <f>SB18a!D160</f>
        <v>0</v>
      </c>
      <c r="E35" s="132">
        <f>SB18a!E160</f>
        <v>0</v>
      </c>
      <c r="F35" s="132">
        <f>SB18a!F160</f>
        <v>0</v>
      </c>
      <c r="G35" s="132">
        <f>SB18a!G160</f>
        <v>0</v>
      </c>
      <c r="H35" s="132">
        <f>SB18a!H160</f>
        <v>0</v>
      </c>
      <c r="I35" s="132">
        <f>SB18a!I160</f>
        <v>1856687</v>
      </c>
      <c r="J35" s="171">
        <f>SB18a!J160</f>
        <v>1856687</v>
      </c>
      <c r="K35" s="171">
        <f>SB18a!K160</f>
        <v>3356687</v>
      </c>
      <c r="L35" s="132">
        <f>SB18a!L160</f>
        <v>0</v>
      </c>
      <c r="M35" s="133">
        <f>SB18a!M160</f>
        <v>0</v>
      </c>
      <c r="N35" s="128"/>
    </row>
    <row r="36" spans="1:14" ht="12.75" customHeight="1" x14ac:dyDescent="0.25">
      <c r="A36" s="1252" t="s">
        <v>1757</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2" t="s">
        <v>1701</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1"/>
    </row>
    <row r="39" spans="1:14" ht="12.75" customHeight="1" x14ac:dyDescent="0.25">
      <c r="A39" s="233" t="s">
        <v>1133</v>
      </c>
      <c r="B39" s="115">
        <v>2</v>
      </c>
      <c r="C39" s="140">
        <f>C49+C52+C53+C56+C59+C60+SUM(C63:C69)</f>
        <v>52011231.759999998</v>
      </c>
      <c r="D39" s="141">
        <f t="shared" ref="D39:M39" si="6">D49+D52+D53+D56+D59+D60+SUM(D63:D69)</f>
        <v>0</v>
      </c>
      <c r="E39" s="141">
        <f t="shared" si="6"/>
        <v>0</v>
      </c>
      <c r="F39" s="141">
        <f t="shared" si="6"/>
        <v>0</v>
      </c>
      <c r="G39" s="141">
        <f t="shared" si="6"/>
        <v>0</v>
      </c>
      <c r="H39" s="141">
        <f t="shared" si="6"/>
        <v>0</v>
      </c>
      <c r="I39" s="141">
        <f t="shared" si="6"/>
        <v>-52011231.760000005</v>
      </c>
      <c r="J39" s="141">
        <f t="shared" si="6"/>
        <v>-52011231.760000005</v>
      </c>
      <c r="K39" s="141">
        <f t="shared" si="6"/>
        <v>-3.7252902984619141E-9</v>
      </c>
      <c r="L39" s="141">
        <f t="shared" si="6"/>
        <v>16050000</v>
      </c>
      <c r="M39" s="142">
        <f t="shared" si="6"/>
        <v>24650000</v>
      </c>
      <c r="N39" s="128"/>
    </row>
    <row r="40" spans="1:14" ht="12.75" customHeight="1" x14ac:dyDescent="0.25">
      <c r="A40" s="1249" t="s">
        <v>1591</v>
      </c>
      <c r="B40" s="73"/>
      <c r="C40" s="131">
        <f>SB18b!C9</f>
        <v>26511231.759999998</v>
      </c>
      <c r="D40" s="132">
        <f>SB18b!D9</f>
        <v>0</v>
      </c>
      <c r="E40" s="132">
        <f>SB18b!E9</f>
        <v>0</v>
      </c>
      <c r="F40" s="132">
        <f>SB18b!F9</f>
        <v>0</v>
      </c>
      <c r="G40" s="132">
        <f>SB18b!G9</f>
        <v>0</v>
      </c>
      <c r="H40" s="132">
        <f>SB18b!H9</f>
        <v>0</v>
      </c>
      <c r="I40" s="132">
        <f>SB18b!I9</f>
        <v>-26511231.760000002</v>
      </c>
      <c r="J40" s="171">
        <f>SB18b!J9</f>
        <v>-26511231.760000002</v>
      </c>
      <c r="K40" s="171">
        <f>SB18b!K9</f>
        <v>-3.7252902984619141E-9</v>
      </c>
      <c r="L40" s="132">
        <f>SB18b!L9</f>
        <v>0</v>
      </c>
      <c r="M40" s="133">
        <f>SB18b!M9</f>
        <v>0</v>
      </c>
      <c r="N40" s="128"/>
    </row>
    <row r="41" spans="1:14" ht="12.75" customHeight="1" x14ac:dyDescent="0.25">
      <c r="A41" s="1249" t="s">
        <v>1595</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49" t="s">
        <v>1599</v>
      </c>
      <c r="B42" s="73"/>
      <c r="C42" s="131">
        <f>SB18b!C18</f>
        <v>25500000</v>
      </c>
      <c r="D42" s="132">
        <f>SB18b!D18</f>
        <v>0</v>
      </c>
      <c r="E42" s="132">
        <f>SB18b!E18</f>
        <v>0</v>
      </c>
      <c r="F42" s="132">
        <f>SB18b!F18</f>
        <v>0</v>
      </c>
      <c r="G42" s="132">
        <f>SB18b!G18</f>
        <v>0</v>
      </c>
      <c r="H42" s="132">
        <f>SB18b!H18</f>
        <v>0</v>
      </c>
      <c r="I42" s="132">
        <f>SB18b!I18</f>
        <v>-25500000</v>
      </c>
      <c r="J42" s="171">
        <f>SB18b!J18</f>
        <v>-25500000</v>
      </c>
      <c r="K42" s="171">
        <f>SB18b!K18</f>
        <v>0</v>
      </c>
      <c r="L42" s="132">
        <f>SB18b!L18</f>
        <v>16050000</v>
      </c>
      <c r="M42" s="133">
        <f>SB18b!M18</f>
        <v>24650000</v>
      </c>
      <c r="N42" s="128"/>
    </row>
    <row r="43" spans="1:14" ht="12.75" customHeight="1" x14ac:dyDescent="0.25">
      <c r="A43" s="1249" t="s">
        <v>1608</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49" t="s">
        <v>1618</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49" t="s">
        <v>1623</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49" t="s">
        <v>1630</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49" t="s">
        <v>1634</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49" t="s">
        <v>1639</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50" t="s">
        <v>772</v>
      </c>
      <c r="B49" s="73"/>
      <c r="C49" s="711">
        <f>SUM(C40:C48)</f>
        <v>52011231.759999998</v>
      </c>
      <c r="D49" s="265">
        <f t="shared" ref="D49:M49" si="7">SUM(D40:D48)</f>
        <v>0</v>
      </c>
      <c r="E49" s="265">
        <f t="shared" si="7"/>
        <v>0</v>
      </c>
      <c r="F49" s="265">
        <f t="shared" si="7"/>
        <v>0</v>
      </c>
      <c r="G49" s="265">
        <f t="shared" si="7"/>
        <v>0</v>
      </c>
      <c r="H49" s="265">
        <f t="shared" si="7"/>
        <v>0</v>
      </c>
      <c r="I49" s="265">
        <f t="shared" si="7"/>
        <v>-52011231.760000005</v>
      </c>
      <c r="J49" s="587">
        <f t="shared" si="7"/>
        <v>-52011231.760000005</v>
      </c>
      <c r="K49" s="587">
        <f t="shared" si="7"/>
        <v>-3.7252902984619141E-9</v>
      </c>
      <c r="L49" s="265">
        <f t="shared" si="7"/>
        <v>16050000</v>
      </c>
      <c r="M49" s="266">
        <f t="shared" si="7"/>
        <v>24650000</v>
      </c>
      <c r="N49" s="128"/>
    </row>
    <row r="50" spans="1:14" ht="12.75" customHeight="1" x14ac:dyDescent="0.25">
      <c r="A50" s="1251" t="s">
        <v>1644</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51" t="s">
        <v>1662</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0" t="s">
        <v>1643</v>
      </c>
      <c r="B52" s="73"/>
      <c r="C52" s="711">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52" t="s">
        <v>1386</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1" t="s">
        <v>1670</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1" t="s">
        <v>1673</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0" t="s">
        <v>774</v>
      </c>
      <c r="B56" s="73"/>
      <c r="C56" s="711">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51" t="s">
        <v>1674</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51" t="s">
        <v>621</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0" t="s">
        <v>1387</v>
      </c>
      <c r="B59" s="73">
        <v>6</v>
      </c>
      <c r="C59" s="711">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52" t="s">
        <v>1687</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1" t="s">
        <v>1689</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1" t="s">
        <v>1690</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50" t="s">
        <v>1688</v>
      </c>
      <c r="B63" s="73"/>
      <c r="C63" s="711">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53" t="s">
        <v>1697</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2" t="s">
        <v>1698</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2" t="s">
        <v>1699</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3" t="s">
        <v>1700</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2" t="s">
        <v>1757</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52" t="s">
        <v>1701</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1708</v>
      </c>
      <c r="B71" s="115" t="s">
        <v>1709</v>
      </c>
      <c r="C71" s="140">
        <f>C81+C84+C85+C88+C91+C92+SUM(C95:C101)</f>
        <v>75323655.50999999</v>
      </c>
      <c r="D71" s="141">
        <f t="shared" ref="D71:M71" si="12">D81+D84+D85+D88+D91+D92+SUM(D95:D101)</f>
        <v>0</v>
      </c>
      <c r="E71" s="141">
        <f t="shared" si="12"/>
        <v>0</v>
      </c>
      <c r="F71" s="141">
        <f t="shared" si="12"/>
        <v>0</v>
      </c>
      <c r="G71" s="141">
        <f t="shared" si="12"/>
        <v>0</v>
      </c>
      <c r="H71" s="141">
        <f t="shared" si="12"/>
        <v>0</v>
      </c>
      <c r="I71" s="141">
        <f t="shared" si="12"/>
        <v>1571475.4900000021</v>
      </c>
      <c r="J71" s="141">
        <f t="shared" si="12"/>
        <v>1571475.4900000021</v>
      </c>
      <c r="K71" s="141">
        <f t="shared" si="12"/>
        <v>76895131</v>
      </c>
      <c r="L71" s="141">
        <f t="shared" si="12"/>
        <v>21942728</v>
      </c>
      <c r="M71" s="142">
        <f t="shared" si="12"/>
        <v>27166714</v>
      </c>
      <c r="N71" s="128"/>
    </row>
    <row r="72" spans="1:14" ht="12.75" customHeight="1" x14ac:dyDescent="0.25">
      <c r="A72" s="1249" t="s">
        <v>1591</v>
      </c>
      <c r="B72" s="73"/>
      <c r="C72" s="131">
        <f>SB18e!C9</f>
        <v>62816890.509999998</v>
      </c>
      <c r="D72" s="132">
        <f>SB18e!D9</f>
        <v>0</v>
      </c>
      <c r="E72" s="132">
        <f>SB18e!E9</f>
        <v>0</v>
      </c>
      <c r="F72" s="132">
        <f>SB18e!F9</f>
        <v>0</v>
      </c>
      <c r="G72" s="132">
        <f>SB18e!G9</f>
        <v>0</v>
      </c>
      <c r="H72" s="132">
        <f>SB18e!H9</f>
        <v>0</v>
      </c>
      <c r="I72" s="132">
        <f>SB18e!I9</f>
        <v>-3121759.5099999979</v>
      </c>
      <c r="J72" s="171">
        <f>SB18e!J9</f>
        <v>-3121759.5099999979</v>
      </c>
      <c r="K72" s="171">
        <f>SB18e!K9</f>
        <v>59695131</v>
      </c>
      <c r="L72" s="132">
        <f>SB18e!L9</f>
        <v>21942728</v>
      </c>
      <c r="M72" s="133">
        <f>SB18e!M9</f>
        <v>27166714</v>
      </c>
      <c r="N72" s="128"/>
    </row>
    <row r="73" spans="1:14" ht="12.75" customHeight="1" x14ac:dyDescent="0.25">
      <c r="A73" s="1249" t="s">
        <v>1595</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49" t="s">
        <v>1599</v>
      </c>
      <c r="B74" s="73"/>
      <c r="C74" s="131">
        <f>SB18e!C18</f>
        <v>0</v>
      </c>
      <c r="D74" s="132">
        <f>SB18e!D18</f>
        <v>0</v>
      </c>
      <c r="E74" s="132">
        <f>SB18e!E18</f>
        <v>0</v>
      </c>
      <c r="F74" s="132">
        <f>SB18e!F18</f>
        <v>0</v>
      </c>
      <c r="G74" s="132">
        <f>SB18e!G18</f>
        <v>0</v>
      </c>
      <c r="H74" s="132">
        <f>SB18e!H18</f>
        <v>0</v>
      </c>
      <c r="I74" s="132">
        <f>SB18e!I18</f>
        <v>14700000</v>
      </c>
      <c r="J74" s="171">
        <f>SB18e!J18</f>
        <v>14700000</v>
      </c>
      <c r="K74" s="171">
        <f>SB18e!K18</f>
        <v>14700000</v>
      </c>
      <c r="L74" s="132">
        <f>SB18e!L18</f>
        <v>0</v>
      </c>
      <c r="M74" s="133">
        <f>SB18e!M18</f>
        <v>0</v>
      </c>
      <c r="N74" s="128"/>
    </row>
    <row r="75" spans="1:14" ht="12.75" customHeight="1" x14ac:dyDescent="0.25">
      <c r="A75" s="1249" t="s">
        <v>1608</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49" t="s">
        <v>1618</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49" t="s">
        <v>1623</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49" t="s">
        <v>1630</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49" t="s">
        <v>1634</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49" t="s">
        <v>1639</v>
      </c>
      <c r="B80" s="73"/>
      <c r="C80" s="131">
        <f>SB18e!C70</f>
        <v>12506765</v>
      </c>
      <c r="D80" s="132">
        <f>SB18e!D70</f>
        <v>0</v>
      </c>
      <c r="E80" s="132">
        <f>SB18e!E70</f>
        <v>0</v>
      </c>
      <c r="F80" s="132">
        <f>SB18e!F70</f>
        <v>0</v>
      </c>
      <c r="G80" s="132">
        <f>SB18e!G70</f>
        <v>0</v>
      </c>
      <c r="H80" s="132">
        <f>SB18e!H70</f>
        <v>0</v>
      </c>
      <c r="I80" s="132">
        <f>SB18e!I70</f>
        <v>-10006765</v>
      </c>
      <c r="J80" s="171">
        <f>SB18e!J70</f>
        <v>-10006765</v>
      </c>
      <c r="K80" s="171">
        <f>SB18e!K70</f>
        <v>2500000</v>
      </c>
      <c r="L80" s="132">
        <f>SB18e!L70</f>
        <v>0</v>
      </c>
      <c r="M80" s="133">
        <f>SB18e!M70</f>
        <v>0</v>
      </c>
      <c r="N80" s="128"/>
    </row>
    <row r="81" spans="1:14" ht="12.75" customHeight="1" x14ac:dyDescent="0.25">
      <c r="A81" s="1250" t="s">
        <v>772</v>
      </c>
      <c r="B81" s="73"/>
      <c r="C81" s="711">
        <f>SUM(C72:C80)</f>
        <v>75323655.50999999</v>
      </c>
      <c r="D81" s="265">
        <f t="shared" ref="D81:M81" si="13">SUM(D72:D80)</f>
        <v>0</v>
      </c>
      <c r="E81" s="265">
        <f t="shared" si="13"/>
        <v>0</v>
      </c>
      <c r="F81" s="265">
        <f t="shared" si="13"/>
        <v>0</v>
      </c>
      <c r="G81" s="265">
        <f t="shared" si="13"/>
        <v>0</v>
      </c>
      <c r="H81" s="265">
        <f t="shared" si="13"/>
        <v>0</v>
      </c>
      <c r="I81" s="265">
        <f t="shared" si="13"/>
        <v>1571475.4900000021</v>
      </c>
      <c r="J81" s="587">
        <f t="shared" si="13"/>
        <v>1571475.4900000021</v>
      </c>
      <c r="K81" s="587">
        <f t="shared" si="13"/>
        <v>76895131</v>
      </c>
      <c r="L81" s="265">
        <f t="shared" si="13"/>
        <v>21942728</v>
      </c>
      <c r="M81" s="266">
        <f t="shared" si="13"/>
        <v>27166714</v>
      </c>
      <c r="N81" s="128"/>
    </row>
    <row r="82" spans="1:14" ht="12.75" customHeight="1" x14ac:dyDescent="0.25">
      <c r="A82" s="1251" t="s">
        <v>1644</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51" t="s">
        <v>1662</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50" t="s">
        <v>1643</v>
      </c>
      <c r="B84" s="73"/>
      <c r="C84" s="711">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52" t="s">
        <v>1386</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51" t="s">
        <v>1670</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1" t="s">
        <v>1673</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0" t="s">
        <v>774</v>
      </c>
      <c r="B88" s="73"/>
      <c r="C88" s="711">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51" t="s">
        <v>1674</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51" t="s">
        <v>621</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0" t="s">
        <v>1387</v>
      </c>
      <c r="B91" s="73">
        <v>6</v>
      </c>
      <c r="C91" s="711">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52" t="s">
        <v>1687</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1" t="s">
        <v>1689</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1" t="s">
        <v>1690</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50" t="s">
        <v>1688</v>
      </c>
      <c r="B95" s="73"/>
      <c r="C95" s="711">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53" t="s">
        <v>1697</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52" t="s">
        <v>1698</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52" t="s">
        <v>1699</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3" t="s">
        <v>1700</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2" t="s">
        <v>1757</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52" t="s">
        <v>1701</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1134</v>
      </c>
      <c r="B103" s="73">
        <v>4</v>
      </c>
      <c r="C103" s="74">
        <f>C7+C39+C71</f>
        <v>195199250</v>
      </c>
      <c r="D103" s="75">
        <f t="shared" ref="D103:M103" si="18">D7+D39+D71</f>
        <v>0</v>
      </c>
      <c r="E103" s="75">
        <f t="shared" si="18"/>
        <v>0</v>
      </c>
      <c r="F103" s="75">
        <f t="shared" si="18"/>
        <v>0</v>
      </c>
      <c r="G103" s="75">
        <f t="shared" si="18"/>
        <v>0</v>
      </c>
      <c r="H103" s="75">
        <f t="shared" si="18"/>
        <v>0</v>
      </c>
      <c r="I103" s="75">
        <f t="shared" si="18"/>
        <v>-41481232</v>
      </c>
      <c r="J103" s="75">
        <f t="shared" si="18"/>
        <v>-41481232</v>
      </c>
      <c r="K103" s="75">
        <f t="shared" si="18"/>
        <v>153718018.00000003</v>
      </c>
      <c r="L103" s="75">
        <f t="shared" si="18"/>
        <v>124549850</v>
      </c>
      <c r="M103" s="76">
        <f t="shared" si="18"/>
        <v>139667500</v>
      </c>
      <c r="N103" s="128"/>
    </row>
    <row r="104" spans="1:14" ht="12" customHeight="1" x14ac:dyDescent="0.25">
      <c r="A104" s="1249" t="s">
        <v>1591</v>
      </c>
      <c r="B104" s="73"/>
      <c r="C104" s="74">
        <f t="shared" ref="C104:C133" si="19">C8+C40+C72</f>
        <v>125192485.00000001</v>
      </c>
      <c r="D104" s="75">
        <f t="shared" ref="D104:M106" si="20">D8+D40+D72</f>
        <v>0</v>
      </c>
      <c r="E104" s="75">
        <f t="shared" si="20"/>
        <v>0</v>
      </c>
      <c r="F104" s="75">
        <f t="shared" si="20"/>
        <v>0</v>
      </c>
      <c r="G104" s="75">
        <f t="shared" si="20"/>
        <v>0</v>
      </c>
      <c r="H104" s="75">
        <f t="shared" si="20"/>
        <v>0</v>
      </c>
      <c r="I104" s="75">
        <f t="shared" si="20"/>
        <v>-33104466.999999996</v>
      </c>
      <c r="J104" s="75">
        <f t="shared" si="20"/>
        <v>-33104466.999999996</v>
      </c>
      <c r="K104" s="75">
        <f t="shared" si="20"/>
        <v>92088018.000000015</v>
      </c>
      <c r="L104" s="75">
        <f t="shared" si="20"/>
        <v>89549850</v>
      </c>
      <c r="M104" s="76">
        <f t="shared" si="20"/>
        <v>94667500</v>
      </c>
      <c r="N104" s="128"/>
    </row>
    <row r="105" spans="1:14" ht="12" customHeight="1" x14ac:dyDescent="0.25">
      <c r="A105" s="1249" t="s">
        <v>1595</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49" t="s">
        <v>1599</v>
      </c>
      <c r="B106" s="73"/>
      <c r="C106" s="74">
        <f t="shared" si="19"/>
        <v>55000000</v>
      </c>
      <c r="D106" s="75">
        <f t="shared" si="20"/>
        <v>0</v>
      </c>
      <c r="E106" s="75">
        <f t="shared" si="20"/>
        <v>0</v>
      </c>
      <c r="F106" s="75">
        <f t="shared" si="20"/>
        <v>0</v>
      </c>
      <c r="G106" s="75">
        <f t="shared" si="20"/>
        <v>0</v>
      </c>
      <c r="H106" s="75">
        <f t="shared" si="20"/>
        <v>0</v>
      </c>
      <c r="I106" s="75">
        <f t="shared" si="20"/>
        <v>0</v>
      </c>
      <c r="J106" s="75">
        <f t="shared" si="20"/>
        <v>0</v>
      </c>
      <c r="K106" s="75">
        <f t="shared" si="20"/>
        <v>55000000</v>
      </c>
      <c r="L106" s="75">
        <f t="shared" si="20"/>
        <v>35000000</v>
      </c>
      <c r="M106" s="76">
        <f t="shared" si="20"/>
        <v>45000000</v>
      </c>
      <c r="N106" s="128"/>
    </row>
    <row r="107" spans="1:14" ht="12" customHeight="1" x14ac:dyDescent="0.25">
      <c r="A107" s="1249" t="s">
        <v>1608</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49" t="s">
        <v>1618</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49" t="s">
        <v>1623</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49" t="s">
        <v>1630</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49" t="s">
        <v>1634</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49" t="s">
        <v>1639</v>
      </c>
      <c r="B112" s="73"/>
      <c r="C112" s="74">
        <f t="shared" si="19"/>
        <v>12506765</v>
      </c>
      <c r="D112" s="75">
        <f t="shared" ref="D112:M112" si="26">D16+D48+D80</f>
        <v>0</v>
      </c>
      <c r="E112" s="75">
        <f t="shared" si="26"/>
        <v>0</v>
      </c>
      <c r="F112" s="75">
        <f t="shared" si="26"/>
        <v>0</v>
      </c>
      <c r="G112" s="75">
        <f t="shared" si="26"/>
        <v>0</v>
      </c>
      <c r="H112" s="75">
        <f t="shared" si="26"/>
        <v>0</v>
      </c>
      <c r="I112" s="75">
        <f t="shared" si="26"/>
        <v>-10006765</v>
      </c>
      <c r="J112" s="75">
        <f t="shared" si="26"/>
        <v>-10006765</v>
      </c>
      <c r="K112" s="75">
        <f t="shared" si="26"/>
        <v>2500000</v>
      </c>
      <c r="L112" s="75">
        <f t="shared" si="26"/>
        <v>0</v>
      </c>
      <c r="M112" s="76">
        <f t="shared" si="26"/>
        <v>0</v>
      </c>
      <c r="N112" s="128"/>
    </row>
    <row r="113" spans="1:14" ht="12" customHeight="1" x14ac:dyDescent="0.25">
      <c r="A113" s="1250" t="s">
        <v>772</v>
      </c>
      <c r="B113" s="73"/>
      <c r="C113" s="74">
        <f t="shared" si="19"/>
        <v>192699250</v>
      </c>
      <c r="D113" s="75">
        <f t="shared" ref="D113:M113" si="27">D17+D49+D81</f>
        <v>0</v>
      </c>
      <c r="E113" s="75">
        <f t="shared" si="27"/>
        <v>0</v>
      </c>
      <c r="F113" s="75">
        <f t="shared" si="27"/>
        <v>0</v>
      </c>
      <c r="G113" s="75">
        <f t="shared" si="27"/>
        <v>0</v>
      </c>
      <c r="H113" s="75">
        <f t="shared" si="27"/>
        <v>0</v>
      </c>
      <c r="I113" s="75">
        <f t="shared" si="27"/>
        <v>-43111232</v>
      </c>
      <c r="J113" s="75">
        <f t="shared" si="27"/>
        <v>-43111232</v>
      </c>
      <c r="K113" s="75">
        <f t="shared" si="27"/>
        <v>149588018.00000003</v>
      </c>
      <c r="L113" s="75">
        <f t="shared" si="27"/>
        <v>124549850</v>
      </c>
      <c r="M113" s="76">
        <f t="shared" si="27"/>
        <v>139667500</v>
      </c>
      <c r="N113" s="128"/>
    </row>
    <row r="114" spans="1:14" ht="12" customHeight="1" x14ac:dyDescent="0.25">
      <c r="A114" s="1251" t="s">
        <v>1644</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x14ac:dyDescent="0.25">
      <c r="A115" s="1251" t="s">
        <v>1662</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50" t="s">
        <v>1643</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x14ac:dyDescent="0.25">
      <c r="A117" s="1252" t="s">
        <v>1386</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51" t="s">
        <v>1670</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51" t="s">
        <v>1673</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50" t="s">
        <v>774</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51" t="s">
        <v>1674</v>
      </c>
      <c r="B121" s="73"/>
      <c r="C121" s="74">
        <f t="shared" si="19"/>
        <v>0</v>
      </c>
      <c r="D121" s="75">
        <f t="shared" ref="D121:M121" si="35">D25+D57+D89</f>
        <v>0</v>
      </c>
      <c r="E121" s="75">
        <f t="shared" si="35"/>
        <v>0</v>
      </c>
      <c r="F121" s="75">
        <f t="shared" si="35"/>
        <v>0</v>
      </c>
      <c r="G121" s="75">
        <f t="shared" si="35"/>
        <v>0</v>
      </c>
      <c r="H121" s="75">
        <f t="shared" si="35"/>
        <v>0</v>
      </c>
      <c r="I121" s="75">
        <f t="shared" si="35"/>
        <v>230000</v>
      </c>
      <c r="J121" s="75">
        <f t="shared" si="35"/>
        <v>230000</v>
      </c>
      <c r="K121" s="75">
        <f t="shared" si="35"/>
        <v>230000</v>
      </c>
      <c r="L121" s="75">
        <f t="shared" si="35"/>
        <v>0</v>
      </c>
      <c r="M121" s="76">
        <f t="shared" si="35"/>
        <v>0</v>
      </c>
      <c r="N121" s="128"/>
    </row>
    <row r="122" spans="1:14" ht="12" customHeight="1" x14ac:dyDescent="0.25">
      <c r="A122" s="1251" t="s">
        <v>621</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50" t="s">
        <v>1387</v>
      </c>
      <c r="B123" s="73"/>
      <c r="C123" s="74">
        <f t="shared" si="19"/>
        <v>0</v>
      </c>
      <c r="D123" s="75">
        <f t="shared" ref="D123:M123" si="37">D27+D59+D91</f>
        <v>0</v>
      </c>
      <c r="E123" s="75">
        <f t="shared" si="37"/>
        <v>0</v>
      </c>
      <c r="F123" s="75">
        <f t="shared" si="37"/>
        <v>0</v>
      </c>
      <c r="G123" s="75">
        <f t="shared" si="37"/>
        <v>0</v>
      </c>
      <c r="H123" s="75">
        <f t="shared" si="37"/>
        <v>0</v>
      </c>
      <c r="I123" s="75">
        <f t="shared" si="37"/>
        <v>230000</v>
      </c>
      <c r="J123" s="75">
        <f t="shared" si="37"/>
        <v>230000</v>
      </c>
      <c r="K123" s="75">
        <f t="shared" si="37"/>
        <v>230000</v>
      </c>
      <c r="L123" s="75">
        <f t="shared" si="37"/>
        <v>0</v>
      </c>
      <c r="M123" s="76">
        <f t="shared" si="37"/>
        <v>0</v>
      </c>
      <c r="N123" s="128"/>
    </row>
    <row r="124" spans="1:14" ht="12" customHeight="1" x14ac:dyDescent="0.25">
      <c r="A124" s="1252" t="s">
        <v>1687</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51" t="s">
        <v>1689</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51" t="s">
        <v>1690</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50" t="s">
        <v>1688</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53" t="s">
        <v>1697</v>
      </c>
      <c r="B128" s="73"/>
      <c r="C128" s="74">
        <f t="shared" si="19"/>
        <v>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0</v>
      </c>
      <c r="L128" s="75">
        <f t="shared" si="42"/>
        <v>0</v>
      </c>
      <c r="M128" s="76">
        <f t="shared" si="42"/>
        <v>0</v>
      </c>
      <c r="N128" s="128"/>
    </row>
    <row r="129" spans="1:14" ht="12" customHeight="1" x14ac:dyDescent="0.25">
      <c r="A129" s="1252" t="s">
        <v>1698</v>
      </c>
      <c r="B129" s="73"/>
      <c r="C129" s="74">
        <f t="shared" si="19"/>
        <v>700000</v>
      </c>
      <c r="D129" s="75">
        <f t="shared" ref="D129:M129" si="43">D33+D65+D97</f>
        <v>0</v>
      </c>
      <c r="E129" s="75">
        <f t="shared" si="43"/>
        <v>0</v>
      </c>
      <c r="F129" s="75">
        <f t="shared" si="43"/>
        <v>0</v>
      </c>
      <c r="G129" s="75">
        <f t="shared" si="43"/>
        <v>0</v>
      </c>
      <c r="H129" s="75">
        <f t="shared" si="43"/>
        <v>0</v>
      </c>
      <c r="I129" s="75">
        <f t="shared" si="43"/>
        <v>-504687</v>
      </c>
      <c r="J129" s="75">
        <f t="shared" si="43"/>
        <v>-504687</v>
      </c>
      <c r="K129" s="75">
        <f t="shared" si="43"/>
        <v>195313</v>
      </c>
      <c r="L129" s="75">
        <f t="shared" si="43"/>
        <v>0</v>
      </c>
      <c r="M129" s="76">
        <f t="shared" si="43"/>
        <v>0</v>
      </c>
      <c r="N129" s="128"/>
    </row>
    <row r="130" spans="1:14" ht="12" customHeight="1" x14ac:dyDescent="0.25">
      <c r="A130" s="1252" t="s">
        <v>1699</v>
      </c>
      <c r="B130" s="73"/>
      <c r="C130" s="74">
        <f t="shared" si="19"/>
        <v>300000</v>
      </c>
      <c r="D130" s="75">
        <f t="shared" ref="D130:M130" si="44">D34+D66+D98</f>
        <v>0</v>
      </c>
      <c r="E130" s="75">
        <f t="shared" si="44"/>
        <v>0</v>
      </c>
      <c r="F130" s="75">
        <f t="shared" si="44"/>
        <v>0</v>
      </c>
      <c r="G130" s="75">
        <f t="shared" si="44"/>
        <v>0</v>
      </c>
      <c r="H130" s="75">
        <f t="shared" si="44"/>
        <v>0</v>
      </c>
      <c r="I130" s="75">
        <f t="shared" si="44"/>
        <v>48000</v>
      </c>
      <c r="J130" s="75">
        <f t="shared" si="44"/>
        <v>48000</v>
      </c>
      <c r="K130" s="75">
        <f t="shared" si="44"/>
        <v>348000</v>
      </c>
      <c r="L130" s="75">
        <f t="shared" si="44"/>
        <v>0</v>
      </c>
      <c r="M130" s="76">
        <f t="shared" si="44"/>
        <v>0</v>
      </c>
      <c r="N130" s="128"/>
    </row>
    <row r="131" spans="1:14" ht="12" customHeight="1" x14ac:dyDescent="0.25">
      <c r="A131" s="1253" t="s">
        <v>1700</v>
      </c>
      <c r="B131" s="73"/>
      <c r="C131" s="74">
        <f t="shared" si="19"/>
        <v>1500000</v>
      </c>
      <c r="D131" s="75">
        <f t="shared" ref="D131:M131" si="45">D35+D67+D99</f>
        <v>0</v>
      </c>
      <c r="E131" s="75">
        <f t="shared" si="45"/>
        <v>0</v>
      </c>
      <c r="F131" s="75">
        <f t="shared" si="45"/>
        <v>0</v>
      </c>
      <c r="G131" s="75">
        <f t="shared" si="45"/>
        <v>0</v>
      </c>
      <c r="H131" s="75">
        <f t="shared" si="45"/>
        <v>0</v>
      </c>
      <c r="I131" s="75">
        <f t="shared" si="45"/>
        <v>1856687</v>
      </c>
      <c r="J131" s="75">
        <f t="shared" si="45"/>
        <v>1856687</v>
      </c>
      <c r="K131" s="75">
        <f t="shared" si="45"/>
        <v>3356687</v>
      </c>
      <c r="L131" s="75">
        <f t="shared" si="45"/>
        <v>0</v>
      </c>
      <c r="M131" s="76">
        <f t="shared" si="45"/>
        <v>0</v>
      </c>
      <c r="N131" s="128"/>
    </row>
    <row r="132" spans="1:14" ht="12" customHeight="1" x14ac:dyDescent="0.25">
      <c r="A132" s="1252" t="s">
        <v>1757</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52" t="s">
        <v>1701</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1135</v>
      </c>
      <c r="B134" s="79">
        <v>4</v>
      </c>
      <c r="C134" s="80">
        <f>C7+C39+C71</f>
        <v>195199250</v>
      </c>
      <c r="D134" s="81">
        <f t="shared" ref="D134:M134" si="48">D7+D39+D71</f>
        <v>0</v>
      </c>
      <c r="E134" s="81">
        <f t="shared" si="48"/>
        <v>0</v>
      </c>
      <c r="F134" s="81">
        <f t="shared" si="48"/>
        <v>0</v>
      </c>
      <c r="G134" s="81">
        <f t="shared" si="48"/>
        <v>0</v>
      </c>
      <c r="H134" s="81">
        <f t="shared" si="48"/>
        <v>0</v>
      </c>
      <c r="I134" s="81">
        <f t="shared" si="48"/>
        <v>-41481232</v>
      </c>
      <c r="J134" s="81">
        <f t="shared" si="48"/>
        <v>-41481232</v>
      </c>
      <c r="K134" s="81">
        <f t="shared" si="48"/>
        <v>153718018.00000003</v>
      </c>
      <c r="L134" s="81">
        <f t="shared" si="48"/>
        <v>124549850</v>
      </c>
      <c r="M134" s="82">
        <f t="shared" si="48"/>
        <v>139667500</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776</v>
      </c>
      <c r="B136" s="73">
        <v>5</v>
      </c>
      <c r="C136" s="131">
        <f>C146+C149+C150+C153+C156+C157+SUM(C160:C166)</f>
        <v>1972770517.0567999</v>
      </c>
      <c r="D136" s="173">
        <f t="shared" ref="D136:M136" si="49">D146+D149+D150+D153+D156+D157+SUM(D160:D166)</f>
        <v>0</v>
      </c>
      <c r="E136" s="173">
        <f t="shared" si="49"/>
        <v>0</v>
      </c>
      <c r="F136" s="173">
        <f t="shared" si="49"/>
        <v>0</v>
      </c>
      <c r="G136" s="173">
        <f t="shared" si="49"/>
        <v>0</v>
      </c>
      <c r="H136" s="173">
        <f t="shared" si="49"/>
        <v>0</v>
      </c>
      <c r="I136" s="173">
        <f t="shared" si="49"/>
        <v>-50000000</v>
      </c>
      <c r="J136" s="75">
        <f t="shared" si="49"/>
        <v>-50000000</v>
      </c>
      <c r="K136" s="75">
        <f t="shared" si="49"/>
        <v>1922770517.0567999</v>
      </c>
      <c r="L136" s="173">
        <f t="shared" si="49"/>
        <v>1987004013.973392</v>
      </c>
      <c r="M136" s="174">
        <f t="shared" si="49"/>
        <v>2034100823.3149884</v>
      </c>
      <c r="N136" s="128"/>
    </row>
    <row r="137" spans="1:14" ht="12.75" customHeight="1" x14ac:dyDescent="0.25">
      <c r="A137" s="1249" t="str">
        <f>+A8</f>
        <v>Roads Infrastructure</v>
      </c>
      <c r="B137" s="73"/>
      <c r="C137" s="130">
        <v>884485591</v>
      </c>
      <c r="D137" s="109"/>
      <c r="E137" s="109"/>
      <c r="F137" s="109"/>
      <c r="G137" s="109"/>
      <c r="H137" s="109"/>
      <c r="I137" s="109">
        <v>-50000000</v>
      </c>
      <c r="J137" s="75">
        <f t="shared" ref="J137:J145" si="50">SUM(E137:I137)</f>
        <v>-50000000</v>
      </c>
      <c r="K137" s="75">
        <f t="shared" ref="K137:K150" si="51">IF(D137=0,C137+J137,D137+J137)</f>
        <v>834485591</v>
      </c>
      <c r="L137" s="109">
        <v>900515441</v>
      </c>
      <c r="M137" s="110">
        <v>953941941</v>
      </c>
      <c r="N137" s="128"/>
    </row>
    <row r="138" spans="1:14" ht="12.75" customHeight="1" x14ac:dyDescent="0.25">
      <c r="A138" s="1249" t="str">
        <f t="shared" ref="A138:A166" si="52">+A9</f>
        <v>Storm water Infrastructure</v>
      </c>
      <c r="B138" s="73"/>
      <c r="C138" s="130">
        <v>8574339</v>
      </c>
      <c r="D138" s="109"/>
      <c r="E138" s="109"/>
      <c r="F138" s="109"/>
      <c r="G138" s="109"/>
      <c r="H138" s="109"/>
      <c r="I138" s="109"/>
      <c r="J138" s="75">
        <f t="shared" si="50"/>
        <v>0</v>
      </c>
      <c r="K138" s="75">
        <f>IF(D138=0,C138+J138,D138+J138)</f>
        <v>8574339</v>
      </c>
      <c r="L138" s="109">
        <v>7059339</v>
      </c>
      <c r="M138" s="110">
        <v>5544339</v>
      </c>
      <c r="N138" s="128"/>
    </row>
    <row r="139" spans="1:14" ht="12.75" customHeight="1" x14ac:dyDescent="0.25">
      <c r="A139" s="1249" t="str">
        <f t="shared" si="52"/>
        <v>Electrical Infrastructure</v>
      </c>
      <c r="B139" s="137"/>
      <c r="C139" s="130">
        <v>617814000</v>
      </c>
      <c r="D139" s="109"/>
      <c r="E139" s="109"/>
      <c r="F139" s="109"/>
      <c r="G139" s="109"/>
      <c r="H139" s="109"/>
      <c r="I139" s="109"/>
      <c r="J139" s="75">
        <f t="shared" si="50"/>
        <v>0</v>
      </c>
      <c r="K139" s="75">
        <f>IF(D139=0,C139+J139,D139+J139)</f>
        <v>617814000</v>
      </c>
      <c r="L139" s="109">
        <v>653495000</v>
      </c>
      <c r="M139" s="110">
        <v>655947000</v>
      </c>
      <c r="N139" s="128"/>
    </row>
    <row r="140" spans="1:14" ht="12.75" customHeight="1" x14ac:dyDescent="0.25">
      <c r="A140" s="1249"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49"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49" t="str">
        <f t="shared" si="52"/>
        <v>Solid Waste Infrastructure</v>
      </c>
      <c r="B142" s="73"/>
      <c r="C142" s="130">
        <v>31188683</v>
      </c>
      <c r="D142" s="109"/>
      <c r="E142" s="109"/>
      <c r="F142" s="109"/>
      <c r="G142" s="109"/>
      <c r="H142" s="109"/>
      <c r="I142" s="109"/>
      <c r="J142" s="75">
        <f t="shared" si="50"/>
        <v>0</v>
      </c>
      <c r="K142" s="75">
        <f t="shared" si="51"/>
        <v>31188683</v>
      </c>
      <c r="L142" s="109">
        <v>30324683</v>
      </c>
      <c r="M142" s="110">
        <v>29460683</v>
      </c>
      <c r="N142" s="128"/>
    </row>
    <row r="143" spans="1:14" ht="12.75" customHeight="1" x14ac:dyDescent="0.25">
      <c r="A143" s="1249"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49"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49" t="str">
        <f t="shared" si="52"/>
        <v>Information and Communication Infrastructure</v>
      </c>
      <c r="B145" s="73"/>
      <c r="C145" s="130">
        <v>18560612</v>
      </c>
      <c r="D145" s="109"/>
      <c r="E145" s="109"/>
      <c r="F145" s="109"/>
      <c r="G145" s="109"/>
      <c r="H145" s="109"/>
      <c r="I145" s="109"/>
      <c r="J145" s="75">
        <f t="shared" si="50"/>
        <v>0</v>
      </c>
      <c r="K145" s="75">
        <f t="shared" si="51"/>
        <v>18560612</v>
      </c>
      <c r="L145" s="109">
        <v>18513612</v>
      </c>
      <c r="M145" s="110">
        <v>18320612</v>
      </c>
      <c r="N145" s="128"/>
    </row>
    <row r="146" spans="1:14" ht="12.75" customHeight="1" x14ac:dyDescent="0.25">
      <c r="A146" s="1250" t="str">
        <f t="shared" si="52"/>
        <v>Infrastructure</v>
      </c>
      <c r="B146" s="73"/>
      <c r="C146" s="711">
        <f t="shared" ref="C146:J146" si="53">SUM(C137:C145)</f>
        <v>1560623225</v>
      </c>
      <c r="D146" s="265">
        <f t="shared" si="53"/>
        <v>0</v>
      </c>
      <c r="E146" s="265">
        <f t="shared" si="53"/>
        <v>0</v>
      </c>
      <c r="F146" s="265">
        <f t="shared" si="53"/>
        <v>0</v>
      </c>
      <c r="G146" s="265">
        <f t="shared" si="53"/>
        <v>0</v>
      </c>
      <c r="H146" s="265">
        <f t="shared" si="53"/>
        <v>0</v>
      </c>
      <c r="I146" s="265">
        <f t="shared" si="53"/>
        <v>-50000000</v>
      </c>
      <c r="J146" s="587">
        <f t="shared" si="53"/>
        <v>-50000000</v>
      </c>
      <c r="K146" s="587">
        <f t="shared" si="51"/>
        <v>1510623225</v>
      </c>
      <c r="L146" s="265">
        <f>SUM(L137:L145)</f>
        <v>1609908075</v>
      </c>
      <c r="M146" s="266">
        <f>SUM(M137:M145)</f>
        <v>1663214575</v>
      </c>
      <c r="N146" s="128"/>
    </row>
    <row r="147" spans="1:14" s="184" customFormat="1" ht="1.1499999999999999" customHeight="1" x14ac:dyDescent="0.25">
      <c r="A147" s="1337"/>
      <c r="B147" s="1338"/>
      <c r="C147" s="131"/>
      <c r="D147" s="132"/>
      <c r="E147" s="132"/>
      <c r="F147" s="132"/>
      <c r="G147" s="132"/>
      <c r="H147" s="132"/>
      <c r="I147" s="132"/>
      <c r="J147" s="132"/>
      <c r="K147" s="132"/>
      <c r="L147" s="132"/>
      <c r="M147" s="133"/>
      <c r="N147" s="844"/>
    </row>
    <row r="148" spans="1:14" s="184" customFormat="1" ht="1.1499999999999999" customHeight="1" x14ac:dyDescent="0.25">
      <c r="A148" s="1337"/>
      <c r="B148" s="1338"/>
      <c r="C148" s="131"/>
      <c r="D148" s="132"/>
      <c r="E148" s="132"/>
      <c r="F148" s="132"/>
      <c r="G148" s="132"/>
      <c r="H148" s="132"/>
      <c r="I148" s="132"/>
      <c r="J148" s="132"/>
      <c r="K148" s="132"/>
      <c r="L148" s="132"/>
      <c r="M148" s="133"/>
      <c r="N148" s="844"/>
    </row>
    <row r="149" spans="1:14" ht="12.75" customHeight="1" x14ac:dyDescent="0.25">
      <c r="A149" s="1250" t="str">
        <f t="shared" si="52"/>
        <v>Community Assets</v>
      </c>
      <c r="B149" s="73"/>
      <c r="C149" s="130">
        <v>67952499</v>
      </c>
      <c r="D149" s="109"/>
      <c r="E149" s="109"/>
      <c r="F149" s="109"/>
      <c r="G149" s="109"/>
      <c r="H149" s="109"/>
      <c r="I149" s="109"/>
      <c r="J149" s="75">
        <f>SUM(E149:I149)</f>
        <v>0</v>
      </c>
      <c r="K149" s="75">
        <f>IF(D149=0,C149+J149,D149+J149)</f>
        <v>67952499</v>
      </c>
      <c r="L149" s="109">
        <v>36938753</v>
      </c>
      <c r="M149" s="110">
        <v>34940753</v>
      </c>
      <c r="N149" s="128"/>
    </row>
    <row r="150" spans="1:14" ht="12.75" customHeight="1" x14ac:dyDescent="0.25">
      <c r="A150" s="1252"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x14ac:dyDescent="0.25">
      <c r="A151" s="1337"/>
      <c r="B151" s="1338"/>
      <c r="C151" s="131"/>
      <c r="D151" s="132"/>
      <c r="E151" s="132"/>
      <c r="F151" s="132"/>
      <c r="G151" s="132"/>
      <c r="H151" s="132"/>
      <c r="I151" s="132"/>
      <c r="J151" s="132"/>
      <c r="K151" s="132"/>
      <c r="L151" s="132"/>
      <c r="M151" s="133"/>
      <c r="N151" s="844"/>
    </row>
    <row r="152" spans="1:14" s="184" customFormat="1" ht="1.1499999999999999" customHeight="1" x14ac:dyDescent="0.25">
      <c r="A152" s="1337"/>
      <c r="B152" s="1338"/>
      <c r="C152" s="131"/>
      <c r="D152" s="132"/>
      <c r="E152" s="132"/>
      <c r="F152" s="132"/>
      <c r="G152" s="132"/>
      <c r="H152" s="132"/>
      <c r="I152" s="132"/>
      <c r="J152" s="132"/>
      <c r="K152" s="132"/>
      <c r="L152" s="132"/>
      <c r="M152" s="133"/>
      <c r="N152" s="844"/>
    </row>
    <row r="153" spans="1:14" ht="12.75" customHeight="1" x14ac:dyDescent="0.25">
      <c r="A153" s="1250" t="str">
        <f t="shared" si="52"/>
        <v>Investment properties</v>
      </c>
      <c r="B153" s="73"/>
      <c r="C153" s="130">
        <v>203900753</v>
      </c>
      <c r="D153" s="109"/>
      <c r="E153" s="109"/>
      <c r="F153" s="109"/>
      <c r="G153" s="109"/>
      <c r="H153" s="109"/>
      <c r="I153" s="109"/>
      <c r="J153" s="75">
        <f>SUM(E153:I153)</f>
        <v>0</v>
      </c>
      <c r="K153" s="75">
        <f>IF(D153=0,C153+J153,D153+J153)</f>
        <v>203900753</v>
      </c>
      <c r="L153" s="109">
        <v>206900753</v>
      </c>
      <c r="M153" s="110">
        <v>209900753</v>
      </c>
      <c r="N153" s="128"/>
    </row>
    <row r="154" spans="1:14" s="184" customFormat="1" ht="1.1499999999999999" customHeight="1" x14ac:dyDescent="0.25">
      <c r="A154" s="1337"/>
      <c r="B154" s="1338"/>
      <c r="C154" s="131"/>
      <c r="D154" s="132"/>
      <c r="E154" s="132"/>
      <c r="F154" s="132"/>
      <c r="G154" s="132"/>
      <c r="H154" s="132"/>
      <c r="I154" s="132"/>
      <c r="J154" s="132"/>
      <c r="K154" s="132"/>
      <c r="L154" s="132"/>
      <c r="M154" s="133"/>
      <c r="N154" s="844"/>
    </row>
    <row r="155" spans="1:14" s="184" customFormat="1" ht="1.1499999999999999" customHeight="1" x14ac:dyDescent="0.25">
      <c r="A155" s="1337"/>
      <c r="B155" s="1338"/>
      <c r="C155" s="131"/>
      <c r="D155" s="132"/>
      <c r="E155" s="132"/>
      <c r="F155" s="132"/>
      <c r="G155" s="132"/>
      <c r="H155" s="132"/>
      <c r="I155" s="132"/>
      <c r="J155" s="132"/>
      <c r="K155" s="132"/>
      <c r="L155" s="132"/>
      <c r="M155" s="133"/>
      <c r="N155" s="844"/>
    </row>
    <row r="156" spans="1:14" ht="12.75" customHeight="1" x14ac:dyDescent="0.25">
      <c r="A156" s="1250" t="str">
        <f t="shared" si="52"/>
        <v>Other Assets</v>
      </c>
      <c r="B156" s="73"/>
      <c r="C156" s="130"/>
      <c r="D156" s="109"/>
      <c r="E156" s="109"/>
      <c r="F156" s="109"/>
      <c r="G156" s="109"/>
      <c r="H156" s="109"/>
      <c r="I156" s="109"/>
      <c r="J156" s="75">
        <f>SUM(E156:I156)</f>
        <v>0</v>
      </c>
      <c r="K156" s="75">
        <f>IF(D156=0,C156+J156,D156+J156)</f>
        <v>0</v>
      </c>
      <c r="L156" s="109"/>
      <c r="M156" s="110"/>
      <c r="N156" s="128"/>
    </row>
    <row r="157" spans="1:14" ht="12.75" customHeight="1" x14ac:dyDescent="0.25">
      <c r="A157" s="1252"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37"/>
      <c r="B158" s="1338"/>
      <c r="C158" s="131"/>
      <c r="D158" s="132"/>
      <c r="E158" s="132"/>
      <c r="F158" s="132"/>
      <c r="G158" s="132"/>
      <c r="H158" s="132"/>
      <c r="I158" s="132"/>
      <c r="J158" s="132"/>
      <c r="K158" s="132"/>
      <c r="L158" s="132"/>
      <c r="M158" s="133"/>
      <c r="N158" s="844"/>
    </row>
    <row r="159" spans="1:14" s="184" customFormat="1" ht="1.1499999999999999" customHeight="1" x14ac:dyDescent="0.25">
      <c r="A159" s="1337"/>
      <c r="B159" s="1338"/>
      <c r="C159" s="131"/>
      <c r="D159" s="132"/>
      <c r="E159" s="132"/>
      <c r="F159" s="132"/>
      <c r="G159" s="132"/>
      <c r="H159" s="132"/>
      <c r="I159" s="132"/>
      <c r="J159" s="132"/>
      <c r="K159" s="132"/>
      <c r="L159" s="132"/>
      <c r="M159" s="133"/>
      <c r="N159" s="844"/>
    </row>
    <row r="160" spans="1:14" ht="12.75" customHeight="1" x14ac:dyDescent="0.25">
      <c r="A160" s="1250" t="str">
        <f t="shared" si="52"/>
        <v>Intangible Assets</v>
      </c>
      <c r="B160" s="73"/>
      <c r="C160" s="130">
        <v>810118.0567999999</v>
      </c>
      <c r="D160" s="109"/>
      <c r="E160" s="109"/>
      <c r="F160" s="109"/>
      <c r="G160" s="109"/>
      <c r="H160" s="109"/>
      <c r="I160" s="109"/>
      <c r="J160" s="75">
        <f>SUM(E160:I160)</f>
        <v>0</v>
      </c>
      <c r="K160" s="75">
        <f>IF(D160=0,C160+J160,D160+J160)</f>
        <v>810118.0567999999</v>
      </c>
      <c r="L160" s="109">
        <v>761510.97339199984</v>
      </c>
      <c r="M160" s="110">
        <v>715820.31498847983</v>
      </c>
      <c r="N160" s="128"/>
    </row>
    <row r="161" spans="1:14" ht="12.75" customHeight="1" x14ac:dyDescent="0.25">
      <c r="A161" s="1253" t="str">
        <f t="shared" si="52"/>
        <v>Computer Equipment</v>
      </c>
      <c r="B161" s="73"/>
      <c r="C161" s="130">
        <v>5442684</v>
      </c>
      <c r="D161" s="109"/>
      <c r="E161" s="109"/>
      <c r="F161" s="109"/>
      <c r="G161" s="109"/>
      <c r="H161" s="109"/>
      <c r="I161" s="109"/>
      <c r="J161" s="75">
        <f t="shared" ref="J161:J166" si="54">SUM(E161:I161)</f>
        <v>0</v>
      </c>
      <c r="K161" s="75">
        <f t="shared" ref="K161:K166" si="55">IF(D161=0,C161+J161,D161+J161)</f>
        <v>5442684</v>
      </c>
      <c r="L161" s="109">
        <v>4787684</v>
      </c>
      <c r="M161" s="110">
        <v>4115684</v>
      </c>
      <c r="N161" s="128"/>
    </row>
    <row r="162" spans="1:14" ht="12.75" customHeight="1" x14ac:dyDescent="0.25">
      <c r="A162" s="1252" t="str">
        <f t="shared" si="52"/>
        <v>Furniture and Office Equipment</v>
      </c>
      <c r="B162" s="73"/>
      <c r="C162" s="130">
        <v>10401398</v>
      </c>
      <c r="D162" s="109"/>
      <c r="E162" s="109"/>
      <c r="F162" s="109"/>
      <c r="G162" s="109"/>
      <c r="H162" s="109"/>
      <c r="I162" s="109"/>
      <c r="J162" s="75">
        <f t="shared" si="54"/>
        <v>0</v>
      </c>
      <c r="K162" s="75">
        <f t="shared" si="55"/>
        <v>10401398</v>
      </c>
      <c r="L162" s="109">
        <v>9028398</v>
      </c>
      <c r="M162" s="110">
        <v>7621398</v>
      </c>
      <c r="N162" s="128"/>
    </row>
    <row r="163" spans="1:14" ht="12.75" customHeight="1" x14ac:dyDescent="0.25">
      <c r="A163" s="1252" t="str">
        <f t="shared" si="52"/>
        <v>Machinery and Equipment</v>
      </c>
      <c r="B163" s="73"/>
      <c r="C163" s="130">
        <v>107704830</v>
      </c>
      <c r="D163" s="109"/>
      <c r="E163" s="109"/>
      <c r="F163" s="109"/>
      <c r="G163" s="109"/>
      <c r="H163" s="109"/>
      <c r="I163" s="109"/>
      <c r="J163" s="75">
        <f t="shared" si="54"/>
        <v>0</v>
      </c>
      <c r="K163" s="75">
        <f t="shared" si="55"/>
        <v>107704830</v>
      </c>
      <c r="L163" s="109">
        <v>106764830</v>
      </c>
      <c r="M163" s="110">
        <v>105800830</v>
      </c>
      <c r="N163" s="128"/>
    </row>
    <row r="164" spans="1:14" ht="12.75" customHeight="1" x14ac:dyDescent="0.25">
      <c r="A164" s="1253" t="str">
        <f t="shared" si="52"/>
        <v>Transport Assets</v>
      </c>
      <c r="B164" s="73"/>
      <c r="C164" s="130">
        <v>15935010</v>
      </c>
      <c r="D164" s="109"/>
      <c r="E164" s="109"/>
      <c r="F164" s="109"/>
      <c r="G164" s="109"/>
      <c r="H164" s="109"/>
      <c r="I164" s="109"/>
      <c r="J164" s="75">
        <f t="shared" si="54"/>
        <v>0</v>
      </c>
      <c r="K164" s="75">
        <f t="shared" si="55"/>
        <v>15935010</v>
      </c>
      <c r="L164" s="109">
        <v>11914010</v>
      </c>
      <c r="M164" s="110">
        <v>7791010</v>
      </c>
      <c r="N164" s="128"/>
    </row>
    <row r="165" spans="1:14" ht="12.75" customHeight="1" x14ac:dyDescent="0.25">
      <c r="A165" s="1252"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52"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1136</v>
      </c>
      <c r="B167" s="79">
        <v>5</v>
      </c>
      <c r="C167" s="80">
        <f>C146+C149+C150+C153+C156+C157+SUM(C160:C166)</f>
        <v>1972770517.0567999</v>
      </c>
      <c r="D167" s="81">
        <f t="shared" ref="D167:M167" si="56">D146+D149+D150+D153+D156+D157+SUM(D160:D166)</f>
        <v>0</v>
      </c>
      <c r="E167" s="81">
        <f t="shared" si="56"/>
        <v>0</v>
      </c>
      <c r="F167" s="81">
        <f t="shared" si="56"/>
        <v>0</v>
      </c>
      <c r="G167" s="81">
        <f t="shared" si="56"/>
        <v>0</v>
      </c>
      <c r="H167" s="81">
        <f t="shared" si="56"/>
        <v>0</v>
      </c>
      <c r="I167" s="81">
        <f t="shared" si="56"/>
        <v>-50000000</v>
      </c>
      <c r="J167" s="81">
        <f t="shared" si="56"/>
        <v>-50000000</v>
      </c>
      <c r="K167" s="81">
        <f t="shared" si="56"/>
        <v>1922770517.0567999</v>
      </c>
      <c r="L167" s="81">
        <f t="shared" si="56"/>
        <v>1987004013.973392</v>
      </c>
      <c r="M167" s="82">
        <f t="shared" si="56"/>
        <v>2034100823.3149884</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37" t="s">
        <v>777</v>
      </c>
      <c r="B169" s="73"/>
      <c r="C169" s="74"/>
      <c r="D169" s="75"/>
      <c r="E169" s="75"/>
      <c r="F169" s="75"/>
      <c r="G169" s="75"/>
      <c r="H169" s="75"/>
      <c r="I169" s="75"/>
      <c r="J169" s="75"/>
      <c r="K169" s="75"/>
      <c r="L169" s="75"/>
      <c r="M169" s="76"/>
      <c r="N169" s="128"/>
    </row>
    <row r="170" spans="1:14" ht="12.75" customHeight="1" x14ac:dyDescent="0.25">
      <c r="A170" s="234" t="s">
        <v>565</v>
      </c>
      <c r="B170" s="73"/>
      <c r="C170" s="131">
        <f>SB18d!C169</f>
        <v>133475495.45999999</v>
      </c>
      <c r="D170" s="75">
        <f>SB18d!D169</f>
        <v>0</v>
      </c>
      <c r="E170" s="75">
        <f>SB18d!E169</f>
        <v>0</v>
      </c>
      <c r="F170" s="75">
        <f>SB18d!F169</f>
        <v>0</v>
      </c>
      <c r="G170" s="75">
        <f>SB18d!G169</f>
        <v>0</v>
      </c>
      <c r="H170" s="75">
        <f>SB18d!H169</f>
        <v>0</v>
      </c>
      <c r="I170" s="75">
        <f>SB18d!I169</f>
        <v>0</v>
      </c>
      <c r="J170" s="75">
        <f>SB18d!J169</f>
        <v>0</v>
      </c>
      <c r="K170" s="75">
        <f>SB18d!K169</f>
        <v>133475495.45999999</v>
      </c>
      <c r="L170" s="171">
        <f>SB18d!L169</f>
        <v>135403831.84</v>
      </c>
      <c r="M170" s="235">
        <f>SB18d!M169</f>
        <v>138917142</v>
      </c>
      <c r="N170" s="128"/>
    </row>
    <row r="171" spans="1:14" ht="12.75" customHeight="1" x14ac:dyDescent="0.25">
      <c r="A171" s="234" t="s">
        <v>778</v>
      </c>
      <c r="B171" s="73">
        <v>3</v>
      </c>
      <c r="C171" s="236">
        <f>C181+C184+C185+C188+C191+C192+SUM(C195:C201)</f>
        <v>51180124.61999999</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9801407</v>
      </c>
      <c r="J171" s="237">
        <f t="shared" si="57"/>
        <v>9801407</v>
      </c>
      <c r="K171" s="237">
        <f t="shared" si="57"/>
        <v>60981531.61999999</v>
      </c>
      <c r="L171" s="237">
        <f>L181+L184+L185+L188+L191+L192+SUM(L195:L201)</f>
        <v>60094732.474100009</v>
      </c>
      <c r="M171" s="238">
        <f>M181+M184+M185+M188+M191+M192+SUM(M195:M201)</f>
        <v>63399943.205175504</v>
      </c>
      <c r="N171" s="128"/>
    </row>
    <row r="172" spans="1:14" ht="12.75" customHeight="1" x14ac:dyDescent="0.25">
      <c r="A172" s="1249" t="str">
        <f>+A8</f>
        <v>Roads Infrastructure</v>
      </c>
      <c r="B172" s="73"/>
      <c r="C172" s="131">
        <f>SB18c!C9</f>
        <v>15430715</v>
      </c>
      <c r="D172" s="131">
        <f>SB18c!D9</f>
        <v>0</v>
      </c>
      <c r="E172" s="131">
        <f>SB18c!E9</f>
        <v>0</v>
      </c>
      <c r="F172" s="131">
        <f>SB18c!F9</f>
        <v>0</v>
      </c>
      <c r="G172" s="131">
        <f>SB18c!G9</f>
        <v>0</v>
      </c>
      <c r="H172" s="131">
        <f>SB18c!H9</f>
        <v>0</v>
      </c>
      <c r="I172" s="131">
        <f>SB18c!I9</f>
        <v>849687</v>
      </c>
      <c r="J172" s="171">
        <f>SB18c!J9</f>
        <v>849687</v>
      </c>
      <c r="K172" s="171">
        <f>SB18c!K9</f>
        <v>16280402</v>
      </c>
      <c r="L172" s="132">
        <f>SB18c!L9</f>
        <v>16279404.325000001</v>
      </c>
      <c r="M172" s="266">
        <f>SB18c!M9</f>
        <v>17174771.562875003</v>
      </c>
      <c r="N172" s="128"/>
    </row>
    <row r="173" spans="1:14" ht="12.75" customHeight="1" x14ac:dyDescent="0.25">
      <c r="A173" s="1249" t="str">
        <f t="shared" ref="A173:A201" si="58">+A9</f>
        <v>Storm water Infrastructure</v>
      </c>
      <c r="B173" s="73"/>
      <c r="C173" s="131">
        <f>SB18c!C14</f>
        <v>13313257</v>
      </c>
      <c r="D173" s="131">
        <f>SB18c!D14</f>
        <v>0</v>
      </c>
      <c r="E173" s="131">
        <f>SB18c!E14</f>
        <v>0</v>
      </c>
      <c r="F173" s="131">
        <f>SB18c!F14</f>
        <v>0</v>
      </c>
      <c r="G173" s="131">
        <f>SB18c!G14</f>
        <v>0</v>
      </c>
      <c r="H173" s="131">
        <f>SB18c!H14</f>
        <v>0</v>
      </c>
      <c r="I173" s="131">
        <f>SB18c!I14</f>
        <v>0</v>
      </c>
      <c r="J173" s="171">
        <f>SB18c!J14</f>
        <v>0</v>
      </c>
      <c r="K173" s="171">
        <f>SB18c!K14</f>
        <v>13313257</v>
      </c>
      <c r="L173" s="131">
        <f>SB18c!L14</f>
        <v>14045486.135</v>
      </c>
      <c r="M173" s="133">
        <f>SB18c!M14</f>
        <v>14817987.872424999</v>
      </c>
      <c r="N173" s="128"/>
    </row>
    <row r="174" spans="1:14" ht="12.75" customHeight="1" x14ac:dyDescent="0.25">
      <c r="A174" s="1249" t="str">
        <f t="shared" si="58"/>
        <v>Electrical Infrastructure</v>
      </c>
      <c r="B174" s="73"/>
      <c r="C174" s="131">
        <f>SB18c!C18</f>
        <v>17015054</v>
      </c>
      <c r="D174" s="131">
        <f>SB18c!D18</f>
        <v>0</v>
      </c>
      <c r="E174" s="131">
        <f>SB18c!E18</f>
        <v>0</v>
      </c>
      <c r="F174" s="131">
        <f>SB18c!F18</f>
        <v>0</v>
      </c>
      <c r="G174" s="131">
        <f>SB18c!G18</f>
        <v>0</v>
      </c>
      <c r="H174" s="131">
        <f>SB18c!H18</f>
        <v>0</v>
      </c>
      <c r="I174" s="131">
        <f>SB18c!I18</f>
        <v>4406872</v>
      </c>
      <c r="J174" s="171">
        <f>SB18c!J18</f>
        <v>4406872</v>
      </c>
      <c r="K174" s="171">
        <f>SB18c!K18</f>
        <v>21421926</v>
      </c>
      <c r="L174" s="132">
        <f>SB18c!L18</f>
        <v>19224131.969999999</v>
      </c>
      <c r="M174" s="133">
        <f>SB18c!M18</f>
        <v>20281459.478350002</v>
      </c>
      <c r="N174" s="128"/>
    </row>
    <row r="175" spans="1:14" ht="12.75" customHeight="1" x14ac:dyDescent="0.25">
      <c r="A175" s="1249"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49"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49" t="str">
        <f t="shared" si="58"/>
        <v>Solid Waste Infrastructure</v>
      </c>
      <c r="B177" s="73"/>
      <c r="C177" s="131">
        <f>SB18c!C46</f>
        <v>54900</v>
      </c>
      <c r="D177" s="131">
        <f>SB18c!D46</f>
        <v>0</v>
      </c>
      <c r="E177" s="131">
        <f>SB18c!E46</f>
        <v>0</v>
      </c>
      <c r="F177" s="131">
        <f>SB18c!F46</f>
        <v>0</v>
      </c>
      <c r="G177" s="131">
        <f>SB18c!G46</f>
        <v>0</v>
      </c>
      <c r="H177" s="131">
        <f>SB18c!H46</f>
        <v>0</v>
      </c>
      <c r="I177" s="131">
        <f>SB18c!I46</f>
        <v>0</v>
      </c>
      <c r="J177" s="171">
        <f>SB18c!J46</f>
        <v>0</v>
      </c>
      <c r="K177" s="171">
        <f>SB18c!K46</f>
        <v>54900</v>
      </c>
      <c r="L177" s="131">
        <f>SB18c!L46</f>
        <v>57919.5</v>
      </c>
      <c r="M177" s="133">
        <f>SB18c!M46</f>
        <v>61105.072500000002</v>
      </c>
      <c r="N177" s="128"/>
    </row>
    <row r="178" spans="1:14" ht="12.75" customHeight="1" x14ac:dyDescent="0.25">
      <c r="A178" s="1249" t="str">
        <f t="shared" si="58"/>
        <v>Rail Infrastructure</v>
      </c>
      <c r="B178" s="73"/>
      <c r="C178" s="131">
        <f>SB18c!C54</f>
        <v>555000</v>
      </c>
      <c r="D178" s="131">
        <f>SB18c!D54</f>
        <v>0</v>
      </c>
      <c r="E178" s="131">
        <f>SB18c!E54</f>
        <v>0</v>
      </c>
      <c r="F178" s="131">
        <f>SB18c!F54</f>
        <v>0</v>
      </c>
      <c r="G178" s="131">
        <f>SB18c!G54</f>
        <v>0</v>
      </c>
      <c r="H178" s="131">
        <f>SB18c!H54</f>
        <v>0</v>
      </c>
      <c r="I178" s="131">
        <f>SB18c!I54</f>
        <v>-29987</v>
      </c>
      <c r="J178" s="171">
        <f>SB18c!J54</f>
        <v>-29987</v>
      </c>
      <c r="K178" s="171">
        <f>SB18c!K54</f>
        <v>525013</v>
      </c>
      <c r="L178" s="132">
        <f>SB18c!L54</f>
        <v>585525</v>
      </c>
      <c r="M178" s="133">
        <f>SB18c!M54</f>
        <v>617728.875</v>
      </c>
      <c r="N178" s="128"/>
    </row>
    <row r="179" spans="1:14" ht="12.75" customHeight="1" x14ac:dyDescent="0.25">
      <c r="A179" s="1249"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49"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0" t="str">
        <f t="shared" si="58"/>
        <v>Infrastructure</v>
      </c>
      <c r="B181" s="73"/>
      <c r="C181" s="711">
        <f>SUM(C172:C180)</f>
        <v>46368926</v>
      </c>
      <c r="D181" s="265">
        <f t="shared" ref="D181:M181" si="59">SUM(D172:D180)</f>
        <v>0</v>
      </c>
      <c r="E181" s="265">
        <f t="shared" si="59"/>
        <v>0</v>
      </c>
      <c r="F181" s="265">
        <f t="shared" si="59"/>
        <v>0</v>
      </c>
      <c r="G181" s="265">
        <f t="shared" si="59"/>
        <v>0</v>
      </c>
      <c r="H181" s="265">
        <f t="shared" si="59"/>
        <v>0</v>
      </c>
      <c r="I181" s="265">
        <f t="shared" si="59"/>
        <v>5226572</v>
      </c>
      <c r="J181" s="587">
        <f t="shared" si="59"/>
        <v>5226572</v>
      </c>
      <c r="K181" s="587">
        <f t="shared" si="59"/>
        <v>51595498</v>
      </c>
      <c r="L181" s="265">
        <f t="shared" si="59"/>
        <v>50192466.93</v>
      </c>
      <c r="M181" s="266">
        <f t="shared" si="59"/>
        <v>52953052.861150004</v>
      </c>
      <c r="N181" s="128"/>
    </row>
    <row r="182" spans="1:14" ht="12.75" customHeight="1" x14ac:dyDescent="0.25">
      <c r="A182" s="1251"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51" t="str">
        <f t="shared" si="58"/>
        <v>Sport and Recreation Facilities</v>
      </c>
      <c r="B183" s="73"/>
      <c r="C183" s="131">
        <f>SB18c!C100</f>
        <v>69667</v>
      </c>
      <c r="D183" s="272">
        <f>SB18c!D100</f>
        <v>0</v>
      </c>
      <c r="E183" s="1254">
        <f>SB18c!E100</f>
        <v>0</v>
      </c>
      <c r="F183" s="1254">
        <f>SB18c!F100</f>
        <v>0</v>
      </c>
      <c r="G183" s="1254">
        <f>SB18c!G100</f>
        <v>0</v>
      </c>
      <c r="H183" s="1254">
        <f>SB18c!H100</f>
        <v>0</v>
      </c>
      <c r="I183" s="1254">
        <f>SB18c!I100</f>
        <v>0</v>
      </c>
      <c r="J183" s="1255">
        <f>SB18c!J100</f>
        <v>0</v>
      </c>
      <c r="K183" s="1255">
        <f>SB18c!K100</f>
        <v>69667</v>
      </c>
      <c r="L183" s="272">
        <f>SB18c!L100</f>
        <v>73498.684999999998</v>
      </c>
      <c r="M183" s="275">
        <f>SB18c!M100</f>
        <v>77541.112674999997</v>
      </c>
      <c r="N183" s="128"/>
    </row>
    <row r="184" spans="1:14" ht="12.75" customHeight="1" x14ac:dyDescent="0.25">
      <c r="A184" s="1250" t="str">
        <f t="shared" si="58"/>
        <v>Community Assets</v>
      </c>
      <c r="B184" s="73"/>
      <c r="C184" s="711">
        <f>SUM(C182:C183)</f>
        <v>69667</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69667</v>
      </c>
      <c r="L184" s="132">
        <f t="shared" si="60"/>
        <v>73498.684999999998</v>
      </c>
      <c r="M184" s="133">
        <f t="shared" si="60"/>
        <v>77541.112674999997</v>
      </c>
      <c r="N184" s="128"/>
    </row>
    <row r="185" spans="1:14" ht="12.75" customHeight="1" x14ac:dyDescent="0.25">
      <c r="A185" s="1252"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1"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1" t="str">
        <f t="shared" si="58"/>
        <v>Non-revenue Generating</v>
      </c>
      <c r="B187" s="73"/>
      <c r="C187" s="131">
        <f>SB18c!C116</f>
        <v>0</v>
      </c>
      <c r="D187" s="272">
        <f>SB18c!D116</f>
        <v>0</v>
      </c>
      <c r="E187" s="1254">
        <f>SB18c!E116</f>
        <v>0</v>
      </c>
      <c r="F187" s="1254">
        <f>SB18c!F116</f>
        <v>0</v>
      </c>
      <c r="G187" s="1254">
        <f>SB18c!G116</f>
        <v>0</v>
      </c>
      <c r="H187" s="1254">
        <f>SB18c!H116</f>
        <v>0</v>
      </c>
      <c r="I187" s="1254">
        <f>SB18c!I116</f>
        <v>0</v>
      </c>
      <c r="J187" s="1255">
        <f>SB18c!J116</f>
        <v>0</v>
      </c>
      <c r="K187" s="1255">
        <f>SB18c!K116</f>
        <v>0</v>
      </c>
      <c r="L187" s="272">
        <f>SB18c!L116</f>
        <v>0</v>
      </c>
      <c r="M187" s="275">
        <f>SB18c!M116</f>
        <v>0</v>
      </c>
      <c r="N187" s="128"/>
    </row>
    <row r="188" spans="1:14" ht="12.75" customHeight="1" x14ac:dyDescent="0.25">
      <c r="A188" s="1250" t="str">
        <f t="shared" si="58"/>
        <v>Investment properties</v>
      </c>
      <c r="B188" s="73"/>
      <c r="C188" s="711">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51" t="str">
        <f t="shared" si="58"/>
        <v>Operational Buildings</v>
      </c>
      <c r="B189" s="73"/>
      <c r="C189" s="131">
        <f>SB18c!C121</f>
        <v>2420145</v>
      </c>
      <c r="D189" s="131">
        <f>SB18c!D121</f>
        <v>0</v>
      </c>
      <c r="E189" s="131">
        <f>SB18c!E121</f>
        <v>0</v>
      </c>
      <c r="F189" s="131">
        <f>SB18c!F121</f>
        <v>0</v>
      </c>
      <c r="G189" s="131">
        <f>SB18c!G121</f>
        <v>0</v>
      </c>
      <c r="H189" s="131">
        <f>SB18c!H121</f>
        <v>0</v>
      </c>
      <c r="I189" s="131">
        <f>SB18c!I121</f>
        <v>0</v>
      </c>
      <c r="J189" s="171">
        <f>SB18c!J121</f>
        <v>0</v>
      </c>
      <c r="K189" s="171">
        <f>SB18c!K121</f>
        <v>2420145</v>
      </c>
      <c r="L189" s="132">
        <f>SB18c!L121</f>
        <v>2553252.9749999992</v>
      </c>
      <c r="M189" s="133">
        <f>SB18c!M121</f>
        <v>2693681.8886249992</v>
      </c>
      <c r="N189" s="128"/>
    </row>
    <row r="190" spans="1:14" ht="12.75" customHeight="1" x14ac:dyDescent="0.25">
      <c r="A190" s="1251" t="str">
        <f t="shared" si="58"/>
        <v>Housing</v>
      </c>
      <c r="B190" s="73"/>
      <c r="C190" s="1168">
        <f>SB18c!C133</f>
        <v>0</v>
      </c>
      <c r="D190" s="1254">
        <f>SB18c!D133</f>
        <v>0</v>
      </c>
      <c r="E190" s="1254">
        <f>SB18c!E133</f>
        <v>0</v>
      </c>
      <c r="F190" s="1254">
        <f>SB18c!F133</f>
        <v>0</v>
      </c>
      <c r="G190" s="1254">
        <f>SB18c!G133</f>
        <v>0</v>
      </c>
      <c r="H190" s="1254">
        <f>SB18c!H133</f>
        <v>0</v>
      </c>
      <c r="I190" s="1254">
        <f>SB18c!I133</f>
        <v>0</v>
      </c>
      <c r="J190" s="1255">
        <f>SB18c!J133</f>
        <v>0</v>
      </c>
      <c r="K190" s="1255">
        <f>SB18c!K133</f>
        <v>0</v>
      </c>
      <c r="L190" s="272">
        <f>SB18c!L133</f>
        <v>0</v>
      </c>
      <c r="M190" s="275">
        <f>SB18c!M133</f>
        <v>0</v>
      </c>
      <c r="N190" s="128"/>
    </row>
    <row r="191" spans="1:14" ht="12.75" customHeight="1" x14ac:dyDescent="0.25">
      <c r="A191" s="1250" t="str">
        <f t="shared" si="58"/>
        <v>Other Assets</v>
      </c>
      <c r="B191" s="73"/>
      <c r="C191" s="1135">
        <f>SUM(C189:C190)</f>
        <v>2420145</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2420145</v>
      </c>
      <c r="L191" s="132">
        <f t="shared" si="62"/>
        <v>2553252.9749999992</v>
      </c>
      <c r="M191" s="133">
        <f t="shared" si="62"/>
        <v>2693681.8886249992</v>
      </c>
      <c r="N191" s="128"/>
    </row>
    <row r="192" spans="1:14" ht="12.75" customHeight="1" x14ac:dyDescent="0.25">
      <c r="A192" s="1252"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1"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1" t="str">
        <f t="shared" si="58"/>
        <v>Licences and Rights</v>
      </c>
      <c r="B194" s="73"/>
      <c r="C194" s="1168">
        <f>SB18c!C143</f>
        <v>0</v>
      </c>
      <c r="D194" s="1254">
        <f>SB18c!D143</f>
        <v>0</v>
      </c>
      <c r="E194" s="1254">
        <f>SB18c!E143</f>
        <v>0</v>
      </c>
      <c r="F194" s="1254">
        <f>SB18c!F143</f>
        <v>0</v>
      </c>
      <c r="G194" s="1254">
        <f>SB18c!G143</f>
        <v>0</v>
      </c>
      <c r="H194" s="1254">
        <f>SB18c!H143</f>
        <v>0</v>
      </c>
      <c r="I194" s="1254">
        <f>SB18c!I143</f>
        <v>0</v>
      </c>
      <c r="J194" s="1255">
        <f>SB18c!J143</f>
        <v>0</v>
      </c>
      <c r="K194" s="1255">
        <f>SB18c!K143</f>
        <v>0</v>
      </c>
      <c r="L194" s="272">
        <f>SB18c!L143</f>
        <v>0</v>
      </c>
      <c r="M194" s="275">
        <f>SB18c!M143</f>
        <v>0</v>
      </c>
      <c r="N194" s="128"/>
    </row>
    <row r="195" spans="1:14" ht="12.75" customHeight="1" x14ac:dyDescent="0.25">
      <c r="A195" s="1250" t="str">
        <f t="shared" si="58"/>
        <v>Intangible Assets</v>
      </c>
      <c r="B195" s="73"/>
      <c r="C195" s="1135">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53" t="str">
        <f t="shared" si="58"/>
        <v>Computer Equipment</v>
      </c>
      <c r="B196" s="73"/>
      <c r="C196" s="131">
        <f>SB18c!C151</f>
        <v>365000</v>
      </c>
      <c r="D196" s="131">
        <f>SB18c!D151</f>
        <v>0</v>
      </c>
      <c r="E196" s="131">
        <f>SB18c!E151</f>
        <v>0</v>
      </c>
      <c r="F196" s="131">
        <f>SB18c!F151</f>
        <v>0</v>
      </c>
      <c r="G196" s="131">
        <f>SB18c!G151</f>
        <v>0</v>
      </c>
      <c r="H196" s="131">
        <f>SB18c!H151</f>
        <v>0</v>
      </c>
      <c r="I196" s="131">
        <f>SB18c!I151</f>
        <v>0</v>
      </c>
      <c r="J196" s="171">
        <f>SB18c!J151</f>
        <v>0</v>
      </c>
      <c r="K196" s="171">
        <f>SB18c!K151</f>
        <v>365000</v>
      </c>
      <c r="L196" s="132">
        <f>SB18c!L151</f>
        <v>385075</v>
      </c>
      <c r="M196" s="133">
        <f>SB18c!M151</f>
        <v>406254.125</v>
      </c>
      <c r="N196" s="128"/>
    </row>
    <row r="197" spans="1:14" ht="12.75" customHeight="1" x14ac:dyDescent="0.25">
      <c r="A197" s="1252" t="str">
        <f t="shared" si="58"/>
        <v>Furniture and Office Equipment</v>
      </c>
      <c r="B197" s="73"/>
      <c r="C197" s="131">
        <f>SB18c!C154</f>
        <v>54664</v>
      </c>
      <c r="D197" s="131">
        <f>SB18c!D154</f>
        <v>0</v>
      </c>
      <c r="E197" s="131">
        <f>SB18c!E154</f>
        <v>0</v>
      </c>
      <c r="F197" s="131">
        <f>SB18c!F154</f>
        <v>0</v>
      </c>
      <c r="G197" s="131">
        <f>SB18c!G154</f>
        <v>0</v>
      </c>
      <c r="H197" s="131">
        <f>SB18c!H154</f>
        <v>0</v>
      </c>
      <c r="I197" s="131">
        <f>SB18c!I154</f>
        <v>0</v>
      </c>
      <c r="J197" s="171">
        <f>SB18c!J154</f>
        <v>0</v>
      </c>
      <c r="K197" s="171">
        <f>SB18c!K154</f>
        <v>54664</v>
      </c>
      <c r="L197" s="132">
        <f>SB18c!L154</f>
        <v>57670.519999999982</v>
      </c>
      <c r="M197" s="133">
        <f>SB18c!M154</f>
        <v>60842.3986</v>
      </c>
      <c r="N197" s="128"/>
    </row>
    <row r="198" spans="1:14" ht="12.75" customHeight="1" x14ac:dyDescent="0.25">
      <c r="A198" s="1252" t="str">
        <f t="shared" si="58"/>
        <v>Machinery and Equipment</v>
      </c>
      <c r="B198" s="73"/>
      <c r="C198" s="131">
        <f>SB18c!C157</f>
        <v>586233</v>
      </c>
      <c r="D198" s="131">
        <f>SB18c!D157</f>
        <v>0</v>
      </c>
      <c r="E198" s="131">
        <f>SB18c!E157</f>
        <v>0</v>
      </c>
      <c r="F198" s="131">
        <f>SB18c!F157</f>
        <v>0</v>
      </c>
      <c r="G198" s="131">
        <f>SB18c!G157</f>
        <v>0</v>
      </c>
      <c r="H198" s="131">
        <f>SB18c!H157</f>
        <v>0</v>
      </c>
      <c r="I198" s="131">
        <f>SB18c!I157</f>
        <v>0</v>
      </c>
      <c r="J198" s="171">
        <f>SB18c!J157</f>
        <v>0</v>
      </c>
      <c r="K198" s="171">
        <f>SB18c!K157</f>
        <v>586233</v>
      </c>
      <c r="L198" s="132">
        <f>SB18c!L157</f>
        <v>618475.81500000041</v>
      </c>
      <c r="M198" s="133">
        <f>SB18c!M157</f>
        <v>652491.9848250011</v>
      </c>
      <c r="N198" s="128"/>
    </row>
    <row r="199" spans="1:14" ht="12.75" customHeight="1" x14ac:dyDescent="0.25">
      <c r="A199" s="1253" t="str">
        <f t="shared" si="58"/>
        <v>Transport Assets</v>
      </c>
      <c r="B199" s="73"/>
      <c r="C199" s="131">
        <f>SB18c!C160</f>
        <v>1315489.6199999936</v>
      </c>
      <c r="D199" s="131">
        <f>SB18c!D160</f>
        <v>0</v>
      </c>
      <c r="E199" s="131">
        <f>SB18c!E160</f>
        <v>0</v>
      </c>
      <c r="F199" s="131">
        <f>SB18c!F160</f>
        <v>0</v>
      </c>
      <c r="G199" s="131">
        <f>SB18c!G160</f>
        <v>0</v>
      </c>
      <c r="H199" s="131">
        <f>SB18c!H160</f>
        <v>0</v>
      </c>
      <c r="I199" s="131">
        <f>SB18c!I160</f>
        <v>4574835</v>
      </c>
      <c r="J199" s="171">
        <f>SB18c!J160</f>
        <v>4574835</v>
      </c>
      <c r="K199" s="171">
        <f>SB18c!K160</f>
        <v>5890324.6199999936</v>
      </c>
      <c r="L199" s="132">
        <f>SB18c!L160</f>
        <v>6214292.5491000004</v>
      </c>
      <c r="M199" s="133">
        <f>SB18c!M160</f>
        <v>6556078.8343005003</v>
      </c>
      <c r="N199" s="128"/>
    </row>
    <row r="200" spans="1:14" ht="12.75" customHeight="1" x14ac:dyDescent="0.25">
      <c r="A200" s="1252"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2"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989</v>
      </c>
      <c r="B202" s="79"/>
      <c r="C202" s="116">
        <f>+C170+C171</f>
        <v>184655620.07999998</v>
      </c>
      <c r="D202" s="117">
        <f t="shared" ref="D202:M202" si="64">+D170+D171</f>
        <v>0</v>
      </c>
      <c r="E202" s="117">
        <f t="shared" si="64"/>
        <v>0</v>
      </c>
      <c r="F202" s="117">
        <f t="shared" si="64"/>
        <v>0</v>
      </c>
      <c r="G202" s="117">
        <f t="shared" si="64"/>
        <v>0</v>
      </c>
      <c r="H202" s="117">
        <f t="shared" si="64"/>
        <v>0</v>
      </c>
      <c r="I202" s="117">
        <f t="shared" si="64"/>
        <v>9801407</v>
      </c>
      <c r="J202" s="117">
        <f t="shared" si="64"/>
        <v>9801407</v>
      </c>
      <c r="K202" s="117">
        <f t="shared" si="64"/>
        <v>194457027.07999998</v>
      </c>
      <c r="L202" s="157">
        <f t="shared" si="64"/>
        <v>195498564.31410003</v>
      </c>
      <c r="M202" s="239">
        <f t="shared" si="64"/>
        <v>202317085.20517552</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1710</v>
      </c>
      <c r="B204" s="73"/>
      <c r="C204" s="242">
        <f>IF(ISERROR((C39+C71)/C134),0,((C39+C71)/C134))</f>
        <v>0.65233287151461894</v>
      </c>
      <c r="D204" s="243">
        <f>IF(ISERROR((D39+D71)/D134),0,((D39+D71)/D134))</f>
        <v>0</v>
      </c>
      <c r="E204" s="244"/>
      <c r="F204" s="244"/>
      <c r="G204" s="244"/>
      <c r="H204" s="244"/>
      <c r="I204" s="244"/>
      <c r="J204" s="244"/>
      <c r="K204" s="243">
        <f>IF(ISERROR((K39+K71)/K134),0,((K39+K71)/K134))</f>
        <v>0.50023498871810845</v>
      </c>
      <c r="L204" s="243">
        <f>IF(ISERROR((L39+L71)/L134),0,((L39+L71)/L134))</f>
        <v>0.30504033525532148</v>
      </c>
      <c r="M204" s="245">
        <f>IF(ISERROR((M39+M71)/M134),0,((M39+M71)/M134))</f>
        <v>0.37100051193011974</v>
      </c>
      <c r="N204" s="128"/>
    </row>
    <row r="205" spans="1:14" ht="12.75" customHeight="1" x14ac:dyDescent="0.25">
      <c r="A205" s="241" t="s">
        <v>1711</v>
      </c>
      <c r="B205" s="73"/>
      <c r="C205" s="242">
        <f>IF(ISERROR((C39+C71)/C170),0,((C39+C71)/C170))</f>
        <v>0.95399449038314132</v>
      </c>
      <c r="D205" s="243">
        <f>IF(ISERROR((D39+D71)/D170),0,((D39+D71)/D170))</f>
        <v>0</v>
      </c>
      <c r="E205" s="244"/>
      <c r="F205" s="244"/>
      <c r="G205" s="244"/>
      <c r="H205" s="244"/>
      <c r="I205" s="244"/>
      <c r="J205" s="244"/>
      <c r="K205" s="243">
        <f>IF(ISERROR((K39+K71)/K170),0,((K39+K71)/K170))</f>
        <v>0.57609923630546833</v>
      </c>
      <c r="L205" s="243">
        <f>IF(ISERROR((L39+L71)/L170),0,((L39+L71)/L170))</f>
        <v>0.2805882779218104</v>
      </c>
      <c r="M205" s="245">
        <f>IF(ISERROR((M39+M71)/M170),0,((M39+M71)/M170))</f>
        <v>0.37300446333685733</v>
      </c>
      <c r="N205" s="128"/>
    </row>
    <row r="206" spans="1:14" ht="12.75" customHeight="1" x14ac:dyDescent="0.25">
      <c r="A206" s="241" t="s">
        <v>990</v>
      </c>
      <c r="B206" s="73"/>
      <c r="C206" s="242">
        <f>IF(ISERROR(C171/C167),0,(C171/C167))</f>
        <v>2.5943273268477385E-2</v>
      </c>
      <c r="D206" s="243">
        <f>IF(ISERROR(D171/D167),0,(D171/D167))</f>
        <v>0</v>
      </c>
      <c r="E206" s="244"/>
      <c r="F206" s="244"/>
      <c r="G206" s="244"/>
      <c r="H206" s="244"/>
      <c r="I206" s="244"/>
      <c r="J206" s="244"/>
      <c r="K206" s="243">
        <f>IF(ISERROR(K171/K167),0,(K171/K167))</f>
        <v>3.1715449700854006E-2</v>
      </c>
      <c r="L206" s="243">
        <f>IF(ISERROR(L171/L167),0,(L171/L167))</f>
        <v>3.0243890828347737E-2</v>
      </c>
      <c r="M206" s="245">
        <f>IF(ISERROR(M171/M167),0,(M171/M167))</f>
        <v>3.1168535245884307E-2</v>
      </c>
      <c r="N206" s="128"/>
    </row>
    <row r="207" spans="1:14" ht="12.75" customHeight="1" x14ac:dyDescent="0.25">
      <c r="A207" s="241" t="s">
        <v>1712</v>
      </c>
      <c r="B207" s="73"/>
      <c r="C207" s="242">
        <f>IF(ISERROR((C39+C71+C171)/C167),0,((C39+C71+C171)/C167))</f>
        <v>9.0489497053275456E-2</v>
      </c>
      <c r="D207" s="243">
        <f>IF(ISERROR((D39+D71+D171)/D167),0,((D39+D71+D171)/D167))</f>
        <v>0</v>
      </c>
      <c r="E207" s="244"/>
      <c r="F207" s="244"/>
      <c r="G207" s="244"/>
      <c r="H207" s="244"/>
      <c r="I207" s="244"/>
      <c r="J207" s="244"/>
      <c r="K207" s="243">
        <f>IF(ISERROR((K39+K71+K171)/K167),0,((K39+K71+K171)/K167))</f>
        <v>7.1707289765940929E-2</v>
      </c>
      <c r="L207" s="243">
        <f>IF(ISERROR((L39+L71+L171)/L167),0,((L39+L71+L171)/L167))</f>
        <v>4.9364500415857486E-2</v>
      </c>
      <c r="M207" s="245">
        <f>IF(ISERROR((M39+M71+M171)/M167),0,((M39+M71+M171)/M167))</f>
        <v>5.6642549810980415E-2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1713</v>
      </c>
      <c r="B210" s="99"/>
      <c r="C210" s="99"/>
      <c r="D210" s="99"/>
      <c r="E210" s="99"/>
      <c r="F210" s="99"/>
      <c r="G210" s="99"/>
      <c r="H210" s="99"/>
      <c r="I210" s="99"/>
      <c r="J210" s="99"/>
      <c r="K210" s="99"/>
      <c r="L210" s="99"/>
      <c r="M210" s="99"/>
      <c r="N210" s="128"/>
    </row>
    <row r="211" spans="1:14" ht="12.75" customHeight="1" x14ac:dyDescent="0.25">
      <c r="A211" s="649" t="s">
        <v>1714</v>
      </c>
      <c r="B211" s="99"/>
      <c r="C211" s="159"/>
      <c r="D211" s="159"/>
      <c r="E211" s="159"/>
      <c r="F211" s="159"/>
      <c r="G211" s="159"/>
      <c r="H211" s="159"/>
      <c r="I211" s="159"/>
      <c r="J211" s="159"/>
      <c r="K211" s="159"/>
      <c r="L211" s="159"/>
      <c r="M211" s="99"/>
      <c r="N211" s="128"/>
    </row>
    <row r="212" spans="1:14" ht="12.75" customHeight="1" x14ac:dyDescent="0.25">
      <c r="A212" s="649" t="s">
        <v>1715</v>
      </c>
      <c r="B212" s="99"/>
      <c r="C212" s="159"/>
      <c r="D212" s="159"/>
      <c r="E212" s="159"/>
      <c r="F212" s="159"/>
      <c r="G212" s="159"/>
      <c r="H212" s="159"/>
      <c r="I212" s="159"/>
      <c r="J212" s="159"/>
      <c r="K212" s="159"/>
      <c r="L212" s="159"/>
      <c r="M212" s="99"/>
      <c r="N212" s="128"/>
    </row>
    <row r="213" spans="1:14" ht="12.75" customHeight="1" x14ac:dyDescent="0.25">
      <c r="A213" s="649" t="s">
        <v>1716</v>
      </c>
      <c r="B213" s="93"/>
      <c r="C213" s="96"/>
      <c r="D213" s="96"/>
      <c r="E213" s="96"/>
      <c r="F213" s="96"/>
      <c r="G213" s="96"/>
      <c r="H213" s="96"/>
      <c r="I213" s="96"/>
      <c r="J213" s="96"/>
      <c r="K213" s="96"/>
      <c r="L213" s="96"/>
      <c r="M213" s="96"/>
      <c r="N213" s="128"/>
    </row>
    <row r="214" spans="1:14" ht="12.75" customHeight="1" x14ac:dyDescent="0.25">
      <c r="A214" s="120" t="s">
        <v>1054</v>
      </c>
      <c r="B214" s="93"/>
      <c r="C214" s="96"/>
      <c r="D214" s="96"/>
      <c r="E214" s="96"/>
      <c r="F214" s="96"/>
      <c r="G214" s="96"/>
      <c r="H214" s="96"/>
      <c r="I214" s="96"/>
      <c r="J214" s="96"/>
      <c r="K214" s="96"/>
      <c r="L214" s="96"/>
      <c r="M214" s="96"/>
      <c r="N214" s="128"/>
    </row>
    <row r="215" spans="1:14" ht="12.75" customHeight="1" x14ac:dyDescent="0.25">
      <c r="A215" s="649" t="s">
        <v>546</v>
      </c>
      <c r="B215" s="93"/>
      <c r="C215" s="96"/>
      <c r="D215" s="96"/>
      <c r="E215" s="96"/>
      <c r="F215" s="96"/>
      <c r="G215" s="96"/>
      <c r="H215" s="96"/>
      <c r="I215" s="96"/>
      <c r="J215" s="96"/>
      <c r="K215" s="96"/>
      <c r="L215" s="96"/>
      <c r="M215" s="96"/>
      <c r="N215" s="128"/>
    </row>
    <row r="216" spans="1:14" ht="12.75" customHeight="1" x14ac:dyDescent="0.25">
      <c r="A216" s="120" t="s">
        <v>1055</v>
      </c>
      <c r="B216" s="93"/>
      <c r="C216" s="96"/>
      <c r="D216" s="96"/>
      <c r="E216" s="96"/>
      <c r="F216" s="96"/>
      <c r="G216" s="96"/>
      <c r="H216" s="96"/>
      <c r="I216" s="96"/>
      <c r="J216" s="96"/>
      <c r="K216" s="96"/>
      <c r="L216" s="96"/>
      <c r="M216" s="96"/>
    </row>
    <row r="217" spans="1:14" ht="12.75" customHeight="1" x14ac:dyDescent="0.25">
      <c r="A217" s="1395" t="s">
        <v>992</v>
      </c>
      <c r="B217" s="1395"/>
      <c r="C217" s="1395"/>
      <c r="D217" s="1395"/>
      <c r="E217" s="1395"/>
      <c r="F217" s="1395"/>
      <c r="G217" s="1395"/>
      <c r="H217" s="1395"/>
      <c r="I217" s="1395"/>
      <c r="J217" s="1395"/>
      <c r="K217" s="1395"/>
      <c r="L217" s="1395"/>
      <c r="M217" s="1395"/>
    </row>
    <row r="218" spans="1:14" ht="25.15" customHeight="1" x14ac:dyDescent="0.25">
      <c r="A218" s="1395" t="s">
        <v>1056</v>
      </c>
      <c r="B218" s="1395"/>
      <c r="C218" s="1395"/>
      <c r="D218" s="1395"/>
      <c r="E218" s="1395"/>
      <c r="F218" s="1395"/>
      <c r="G218" s="1395"/>
      <c r="H218" s="1395"/>
      <c r="I218" s="1395"/>
      <c r="J218" s="1395"/>
      <c r="K218" s="1395"/>
      <c r="L218" s="1395"/>
      <c r="M218" s="1395"/>
    </row>
    <row r="219" spans="1:14" ht="12.75" customHeight="1" x14ac:dyDescent="0.25">
      <c r="A219" s="1389" t="s">
        <v>1057</v>
      </c>
      <c r="B219" s="1389"/>
      <c r="C219" s="1389"/>
      <c r="D219" s="1389"/>
      <c r="E219" s="1389"/>
      <c r="F219" s="1389"/>
      <c r="G219" s="1389"/>
      <c r="H219" s="1389"/>
      <c r="I219" s="1389"/>
      <c r="J219" s="1389"/>
      <c r="K219" s="1389"/>
      <c r="L219" s="1389"/>
      <c r="M219" s="1389"/>
    </row>
    <row r="220" spans="1:14" ht="12.75" customHeight="1" x14ac:dyDescent="0.25">
      <c r="A220" s="1389" t="s">
        <v>1058</v>
      </c>
      <c r="B220" s="1389"/>
      <c r="C220" s="1389"/>
      <c r="D220" s="1389"/>
      <c r="E220" s="1389"/>
      <c r="F220" s="1389"/>
      <c r="G220" s="1389"/>
      <c r="H220" s="1389"/>
      <c r="I220" s="1389"/>
      <c r="J220" s="1389"/>
      <c r="K220" s="1389"/>
      <c r="L220" s="1389"/>
      <c r="M220" s="1389"/>
    </row>
    <row r="221" spans="1:14" ht="12.75" customHeight="1" x14ac:dyDescent="0.25">
      <c r="A221" s="99" t="s">
        <v>1059</v>
      </c>
      <c r="B221" s="93"/>
      <c r="C221" s="96"/>
      <c r="D221" s="96"/>
      <c r="E221" s="96"/>
      <c r="F221" s="96"/>
      <c r="G221" s="96"/>
      <c r="H221" s="96"/>
      <c r="I221" s="96"/>
      <c r="J221" s="96"/>
      <c r="K221" s="96"/>
      <c r="L221" s="96"/>
      <c r="M221" s="96"/>
    </row>
    <row r="222" spans="1:14" ht="27" customHeight="1" x14ac:dyDescent="0.25">
      <c r="A222" s="1389" t="s">
        <v>1060</v>
      </c>
      <c r="B222" s="1389"/>
      <c r="C222" s="1389"/>
      <c r="D222" s="1389"/>
      <c r="E222" s="1389"/>
      <c r="F222" s="1389"/>
      <c r="G222" s="1389"/>
      <c r="H222" s="1389"/>
      <c r="I222" s="1389"/>
      <c r="J222" s="1389"/>
      <c r="K222" s="1389"/>
      <c r="L222" s="1389"/>
      <c r="M222" s="1389"/>
    </row>
    <row r="223" spans="1:14" ht="12.75" customHeight="1" x14ac:dyDescent="0.25">
      <c r="A223" s="99" t="s">
        <v>1025</v>
      </c>
      <c r="B223" s="93"/>
      <c r="C223" s="96"/>
      <c r="D223" s="96"/>
      <c r="E223" s="96"/>
      <c r="F223" s="96"/>
      <c r="G223" s="96"/>
      <c r="H223" s="96"/>
      <c r="I223" s="96"/>
      <c r="J223" s="96"/>
      <c r="K223" s="96"/>
      <c r="L223" s="96"/>
      <c r="M223" s="96"/>
    </row>
    <row r="224" spans="1:14" ht="12.75" customHeight="1" x14ac:dyDescent="0.25">
      <c r="A224" s="1389" t="s">
        <v>1026</v>
      </c>
      <c r="B224" s="1389"/>
      <c r="C224" s="1389"/>
      <c r="D224" s="1389"/>
      <c r="E224" s="1389"/>
      <c r="F224" s="1389"/>
      <c r="G224" s="1389"/>
      <c r="H224" s="1389"/>
      <c r="I224" s="1389"/>
      <c r="J224" s="1389"/>
      <c r="K224" s="1389"/>
      <c r="L224" s="1389"/>
      <c r="M224" s="1389"/>
    </row>
    <row r="225" spans="1:15" ht="12.75" customHeight="1" x14ac:dyDescent="0.25"/>
    <row r="226" spans="1:15" ht="12.75" customHeight="1" x14ac:dyDescent="0.25">
      <c r="A226" s="128"/>
      <c r="B226" s="1045"/>
      <c r="C226" s="1046"/>
      <c r="D226" s="1046"/>
      <c r="E226" s="1046"/>
      <c r="F226" s="1046"/>
      <c r="G226" s="1046"/>
      <c r="H226" s="1046"/>
      <c r="I226" s="1046"/>
      <c r="J226" s="1046"/>
      <c r="K226" s="1046"/>
      <c r="L226" s="1046"/>
      <c r="M226" s="1046"/>
      <c r="N226" s="128"/>
      <c r="O226" s="128"/>
    </row>
    <row r="227" spans="1:15" ht="12.75" customHeight="1" x14ac:dyDescent="0.25">
      <c r="B227" s="251" t="s">
        <v>1027</v>
      </c>
      <c r="C227" s="252">
        <f>SUM('B6-FinPos'!C21:C24)-'B9-Asset'!C167</f>
        <v>-203900442</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-203900442</v>
      </c>
      <c r="L227" s="252">
        <f>SUM('B6-FinPos'!L21:L24)-'B9-Asset'!L167</f>
        <v>-174800275</v>
      </c>
      <c r="M227" s="252">
        <f>SUM('B6-FinPos'!M21:M24)-'B9-Asset'!M167</f>
        <v>-178686775</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L69" sqref="L69"/>
    </sheetView>
  </sheetViews>
  <sheetFormatPr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LIM333 Greater Tzaneen - Table B10 Basic service delivery measurement - 27/02/2019</v>
      </c>
      <c r="B1" s="253"/>
      <c r="C1" s="253"/>
      <c r="D1" s="253"/>
      <c r="E1" s="253"/>
      <c r="F1" s="253"/>
      <c r="G1" s="253"/>
      <c r="H1" s="253"/>
    </row>
    <row r="2" spans="1:14" ht="28.5" customHeight="1" x14ac:dyDescent="0.25">
      <c r="A2" s="1418" t="str">
        <f>desc</f>
        <v>Description</v>
      </c>
      <c r="B2" s="1421" t="str">
        <f>head27</f>
        <v>Ref</v>
      </c>
      <c r="C2" s="1424" t="str">
        <f>Head2</f>
        <v>Budget Year 2018/19</v>
      </c>
      <c r="D2" s="1424"/>
      <c r="E2" s="1424"/>
      <c r="F2" s="1424"/>
      <c r="G2" s="1424"/>
      <c r="H2" s="1424"/>
      <c r="I2" s="1424"/>
      <c r="J2" s="1424"/>
      <c r="K2" s="1425"/>
      <c r="L2" s="103" t="str">
        <f>Head10</f>
        <v>Budget Year +1 2019/20</v>
      </c>
      <c r="M2" s="61" t="str">
        <f>Head11</f>
        <v>Budget Year +2 2020/21</v>
      </c>
    </row>
    <row r="3" spans="1:14" ht="28.5" customHeight="1" x14ac:dyDescent="0.25">
      <c r="A3" s="1419"/>
      <c r="B3" s="1422"/>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19"/>
      <c r="B4" s="1422"/>
      <c r="C4" s="15"/>
      <c r="D4" s="15">
        <v>7</v>
      </c>
      <c r="E4" s="15">
        <v>8</v>
      </c>
      <c r="F4" s="15">
        <v>9</v>
      </c>
      <c r="G4" s="15">
        <v>10</v>
      </c>
      <c r="H4" s="15">
        <v>11</v>
      </c>
      <c r="I4" s="15">
        <v>12</v>
      </c>
      <c r="J4" s="15">
        <v>13</v>
      </c>
      <c r="K4" s="15">
        <v>14</v>
      </c>
      <c r="L4" s="15"/>
      <c r="M4" s="17"/>
    </row>
    <row r="5" spans="1:14" x14ac:dyDescent="0.25">
      <c r="A5" s="1420"/>
      <c r="B5" s="1423"/>
      <c r="C5" s="69" t="s">
        <v>548</v>
      </c>
      <c r="D5" s="68" t="s">
        <v>549</v>
      </c>
      <c r="E5" s="68" t="s">
        <v>550</v>
      </c>
      <c r="F5" s="69" t="s">
        <v>551</v>
      </c>
      <c r="G5" s="69" t="s">
        <v>552</v>
      </c>
      <c r="H5" s="69" t="s">
        <v>553</v>
      </c>
      <c r="I5" s="70" t="s">
        <v>554</v>
      </c>
      <c r="J5" s="70" t="s">
        <v>555</v>
      </c>
      <c r="K5" s="70" t="s">
        <v>556</v>
      </c>
      <c r="L5" s="70"/>
      <c r="M5" s="71"/>
    </row>
    <row r="6" spans="1:14" ht="11.25" customHeight="1" x14ac:dyDescent="0.25">
      <c r="A6" s="255" t="s">
        <v>1440</v>
      </c>
      <c r="B6" s="256">
        <v>1</v>
      </c>
      <c r="C6" s="257"/>
      <c r="D6" s="257"/>
      <c r="E6" s="257"/>
      <c r="F6" s="257"/>
      <c r="G6" s="257"/>
      <c r="H6" s="257"/>
      <c r="I6" s="258"/>
      <c r="J6" s="258"/>
      <c r="K6" s="258"/>
      <c r="L6" s="258"/>
      <c r="M6" s="259"/>
    </row>
    <row r="7" spans="1:14" x14ac:dyDescent="0.25">
      <c r="A7" s="260" t="s">
        <v>600</v>
      </c>
      <c r="B7" s="256"/>
      <c r="C7" s="132"/>
      <c r="D7" s="132"/>
      <c r="E7" s="132"/>
      <c r="F7" s="132"/>
      <c r="G7" s="132"/>
      <c r="H7" s="132"/>
      <c r="I7" s="258"/>
      <c r="J7" s="258"/>
      <c r="K7" s="258"/>
      <c r="L7" s="258"/>
      <c r="M7" s="261"/>
      <c r="N7" s="844"/>
    </row>
    <row r="8" spans="1:14" ht="11.25" customHeight="1" x14ac:dyDescent="0.25">
      <c r="A8" s="262" t="s">
        <v>1061</v>
      </c>
      <c r="B8" s="256"/>
      <c r="C8" s="621">
        <v>17793</v>
      </c>
      <c r="D8" s="621"/>
      <c r="E8" s="621"/>
      <c r="F8" s="621"/>
      <c r="G8" s="621"/>
      <c r="H8" s="621"/>
      <c r="I8" s="621"/>
      <c r="J8" s="132">
        <f t="shared" ref="J8:J15" si="0">SUM(E8:I8)</f>
        <v>0</v>
      </c>
      <c r="K8" s="132">
        <f t="shared" ref="K8:K15" si="1">IF(D8=0,C8+J8,D8+J8)</f>
        <v>17793</v>
      </c>
      <c r="L8" s="263">
        <v>17793</v>
      </c>
      <c r="M8" s="264">
        <v>17793</v>
      </c>
      <c r="N8" s="844"/>
    </row>
    <row r="9" spans="1:14" ht="11.25" customHeight="1" x14ac:dyDescent="0.25">
      <c r="A9" s="262" t="s">
        <v>1062</v>
      </c>
      <c r="B9" s="256"/>
      <c r="C9" s="621">
        <v>34755</v>
      </c>
      <c r="D9" s="621"/>
      <c r="E9" s="621"/>
      <c r="F9" s="621"/>
      <c r="G9" s="621"/>
      <c r="H9" s="621"/>
      <c r="I9" s="621"/>
      <c r="J9" s="132">
        <f t="shared" si="0"/>
        <v>0</v>
      </c>
      <c r="K9" s="132">
        <f t="shared" si="1"/>
        <v>34755</v>
      </c>
      <c r="L9" s="263">
        <v>34755</v>
      </c>
      <c r="M9" s="264">
        <v>34755</v>
      </c>
      <c r="N9" s="844"/>
    </row>
    <row r="10" spans="1:14" ht="11.25" customHeight="1" x14ac:dyDescent="0.25">
      <c r="A10" s="262" t="s">
        <v>1063</v>
      </c>
      <c r="B10" s="256">
        <v>2</v>
      </c>
      <c r="C10" s="621">
        <v>17540</v>
      </c>
      <c r="D10" s="621"/>
      <c r="E10" s="621"/>
      <c r="F10" s="621"/>
      <c r="G10" s="621"/>
      <c r="H10" s="621"/>
      <c r="I10" s="621"/>
      <c r="J10" s="132">
        <f t="shared" si="0"/>
        <v>0</v>
      </c>
      <c r="K10" s="132">
        <f t="shared" si="1"/>
        <v>17540</v>
      </c>
      <c r="L10" s="263">
        <v>17540</v>
      </c>
      <c r="M10" s="264">
        <v>17540</v>
      </c>
      <c r="N10" s="844"/>
    </row>
    <row r="11" spans="1:14" ht="11.25" customHeight="1" x14ac:dyDescent="0.25">
      <c r="A11" s="262" t="s">
        <v>1064</v>
      </c>
      <c r="B11" s="256"/>
      <c r="C11" s="621">
        <v>25183</v>
      </c>
      <c r="D11" s="621"/>
      <c r="E11" s="621"/>
      <c r="F11" s="621"/>
      <c r="G11" s="621"/>
      <c r="H11" s="621"/>
      <c r="I11" s="621"/>
      <c r="J11" s="132">
        <f t="shared" si="0"/>
        <v>0</v>
      </c>
      <c r="K11" s="132">
        <f t="shared" si="1"/>
        <v>25183</v>
      </c>
      <c r="L11" s="109">
        <v>25183</v>
      </c>
      <c r="M11" s="110">
        <v>25183</v>
      </c>
      <c r="N11" s="844"/>
    </row>
    <row r="12" spans="1:14" ht="11.25" customHeight="1" x14ac:dyDescent="0.25">
      <c r="A12" s="835" t="s">
        <v>1125</v>
      </c>
      <c r="B12" s="256"/>
      <c r="C12" s="265">
        <f t="shared" ref="C12:M12" si="2">SUM(C8:C11)</f>
        <v>95271</v>
      </c>
      <c r="D12" s="265">
        <f t="shared" si="2"/>
        <v>0</v>
      </c>
      <c r="E12" s="265">
        <f t="shared" si="2"/>
        <v>0</v>
      </c>
      <c r="F12" s="265">
        <f t="shared" si="2"/>
        <v>0</v>
      </c>
      <c r="G12" s="265">
        <f t="shared" si="2"/>
        <v>0</v>
      </c>
      <c r="H12" s="265">
        <f t="shared" si="2"/>
        <v>0</v>
      </c>
      <c r="I12" s="265">
        <f t="shared" si="2"/>
        <v>0</v>
      </c>
      <c r="J12" s="265">
        <f t="shared" si="0"/>
        <v>0</v>
      </c>
      <c r="K12" s="265">
        <f t="shared" si="1"/>
        <v>95271</v>
      </c>
      <c r="L12" s="265">
        <f t="shared" si="2"/>
        <v>95271</v>
      </c>
      <c r="M12" s="266">
        <f t="shared" si="2"/>
        <v>95271</v>
      </c>
      <c r="N12" s="844"/>
    </row>
    <row r="13" spans="1:14" ht="11.25" customHeight="1" x14ac:dyDescent="0.25">
      <c r="A13" s="262" t="s">
        <v>1065</v>
      </c>
      <c r="B13" s="256">
        <v>3</v>
      </c>
      <c r="C13" s="621">
        <v>23511</v>
      </c>
      <c r="D13" s="621"/>
      <c r="E13" s="621"/>
      <c r="F13" s="621"/>
      <c r="G13" s="621"/>
      <c r="H13" s="621"/>
      <c r="I13" s="621"/>
      <c r="J13" s="132">
        <f t="shared" si="0"/>
        <v>0</v>
      </c>
      <c r="K13" s="132">
        <f t="shared" si="1"/>
        <v>23511</v>
      </c>
      <c r="L13" s="263">
        <v>23511</v>
      </c>
      <c r="M13" s="264">
        <v>23511</v>
      </c>
      <c r="N13" s="844"/>
    </row>
    <row r="14" spans="1:14" ht="11.25" customHeight="1" x14ac:dyDescent="0.25">
      <c r="A14" s="262" t="s">
        <v>1066</v>
      </c>
      <c r="B14" s="256" t="s">
        <v>1067</v>
      </c>
      <c r="C14" s="621"/>
      <c r="D14" s="621"/>
      <c r="E14" s="621"/>
      <c r="F14" s="621"/>
      <c r="G14" s="621"/>
      <c r="H14" s="621"/>
      <c r="I14" s="621"/>
      <c r="J14" s="132">
        <f t="shared" si="0"/>
        <v>0</v>
      </c>
      <c r="K14" s="132">
        <f t="shared" si="1"/>
        <v>0</v>
      </c>
      <c r="L14" s="263"/>
      <c r="M14" s="264"/>
      <c r="N14" s="844"/>
    </row>
    <row r="15" spans="1:14" ht="11.25" customHeight="1" x14ac:dyDescent="0.25">
      <c r="A15" s="262" t="s">
        <v>1068</v>
      </c>
      <c r="B15" s="256"/>
      <c r="C15" s="621"/>
      <c r="D15" s="621"/>
      <c r="E15" s="621"/>
      <c r="F15" s="621"/>
      <c r="G15" s="621"/>
      <c r="H15" s="621"/>
      <c r="I15" s="621"/>
      <c r="J15" s="132">
        <f t="shared" si="0"/>
        <v>0</v>
      </c>
      <c r="K15" s="132">
        <f t="shared" si="1"/>
        <v>0</v>
      </c>
      <c r="L15" s="263"/>
      <c r="M15" s="264"/>
      <c r="N15" s="844"/>
    </row>
    <row r="16" spans="1:14" ht="11.25" customHeight="1" x14ac:dyDescent="0.25">
      <c r="A16" s="835" t="s">
        <v>1126</v>
      </c>
      <c r="B16" s="256"/>
      <c r="C16" s="267">
        <f t="shared" ref="C16:M16" si="3">SUM(C13:C15)</f>
        <v>23511</v>
      </c>
      <c r="D16" s="267">
        <f t="shared" si="3"/>
        <v>0</v>
      </c>
      <c r="E16" s="267">
        <f t="shared" si="3"/>
        <v>0</v>
      </c>
      <c r="F16" s="267">
        <f t="shared" si="3"/>
        <v>0</v>
      </c>
      <c r="G16" s="267">
        <f t="shared" si="3"/>
        <v>0</v>
      </c>
      <c r="H16" s="267">
        <f t="shared" si="3"/>
        <v>0</v>
      </c>
      <c r="I16" s="267">
        <f t="shared" si="3"/>
        <v>0</v>
      </c>
      <c r="J16" s="267">
        <f t="shared" si="3"/>
        <v>0</v>
      </c>
      <c r="K16" s="267">
        <f t="shared" si="3"/>
        <v>23511</v>
      </c>
      <c r="L16" s="267">
        <f t="shared" si="3"/>
        <v>23511</v>
      </c>
      <c r="M16" s="268">
        <f t="shared" si="3"/>
        <v>23511</v>
      </c>
      <c r="N16" s="844"/>
    </row>
    <row r="17" spans="1:14" ht="11.25" customHeight="1" x14ac:dyDescent="0.25">
      <c r="A17" s="269" t="s">
        <v>1069</v>
      </c>
      <c r="B17" s="256">
        <v>5</v>
      </c>
      <c r="C17" s="270">
        <f t="shared" ref="C17:M17" si="4">C12+C16</f>
        <v>118782</v>
      </c>
      <c r="D17" s="270">
        <f t="shared" si="4"/>
        <v>0</v>
      </c>
      <c r="E17" s="270">
        <f t="shared" si="4"/>
        <v>0</v>
      </c>
      <c r="F17" s="270">
        <f t="shared" si="4"/>
        <v>0</v>
      </c>
      <c r="G17" s="270">
        <f t="shared" si="4"/>
        <v>0</v>
      </c>
      <c r="H17" s="270">
        <f t="shared" si="4"/>
        <v>0</v>
      </c>
      <c r="I17" s="270">
        <f t="shared" si="4"/>
        <v>0</v>
      </c>
      <c r="J17" s="270">
        <f t="shared" si="4"/>
        <v>0</v>
      </c>
      <c r="K17" s="270">
        <f t="shared" si="4"/>
        <v>118782</v>
      </c>
      <c r="L17" s="270">
        <f t="shared" si="4"/>
        <v>118782</v>
      </c>
      <c r="M17" s="271">
        <f t="shared" si="4"/>
        <v>118782</v>
      </c>
      <c r="N17" s="844"/>
    </row>
    <row r="18" spans="1:14" ht="15.75" customHeight="1" x14ac:dyDescent="0.25">
      <c r="A18" s="260" t="s">
        <v>601</v>
      </c>
      <c r="B18" s="256"/>
      <c r="C18" s="132"/>
      <c r="D18" s="132"/>
      <c r="E18" s="132"/>
      <c r="F18" s="132"/>
      <c r="G18" s="132"/>
      <c r="H18" s="132"/>
      <c r="I18" s="258"/>
      <c r="J18" s="258"/>
      <c r="K18" s="258"/>
      <c r="L18" s="258"/>
      <c r="M18" s="261"/>
      <c r="N18" s="844"/>
    </row>
    <row r="19" spans="1:14" ht="11.25" customHeight="1" x14ac:dyDescent="0.25">
      <c r="A19" s="262" t="s">
        <v>1070</v>
      </c>
      <c r="B19" s="256"/>
      <c r="C19" s="621">
        <v>14480</v>
      </c>
      <c r="D19" s="621"/>
      <c r="E19" s="621"/>
      <c r="F19" s="621"/>
      <c r="G19" s="621"/>
      <c r="H19" s="621"/>
      <c r="I19" s="621"/>
      <c r="J19" s="899">
        <f t="shared" ref="J19:J27" si="5">SUM(E19:I19)</f>
        <v>0</v>
      </c>
      <c r="K19" s="899">
        <f t="shared" ref="K19:K27" si="6">IF(D19=0,C19+J19,D19+J19)</f>
        <v>14480</v>
      </c>
      <c r="L19" s="621">
        <v>14480</v>
      </c>
      <c r="M19" s="1062">
        <v>14480</v>
      </c>
      <c r="N19" s="844"/>
    </row>
    <row r="20" spans="1:14" ht="11.25" customHeight="1" x14ac:dyDescent="0.25">
      <c r="A20" s="262" t="s">
        <v>1071</v>
      </c>
      <c r="B20" s="256"/>
      <c r="C20" s="621">
        <v>284</v>
      </c>
      <c r="D20" s="621"/>
      <c r="E20" s="621"/>
      <c r="F20" s="621"/>
      <c r="G20" s="621"/>
      <c r="H20" s="621"/>
      <c r="I20" s="621"/>
      <c r="J20" s="899">
        <f t="shared" si="5"/>
        <v>0</v>
      </c>
      <c r="K20" s="899">
        <f t="shared" si="6"/>
        <v>284</v>
      </c>
      <c r="L20" s="621">
        <v>284</v>
      </c>
      <c r="M20" s="1062">
        <v>284</v>
      </c>
      <c r="N20" s="844"/>
    </row>
    <row r="21" spans="1:14" ht="11.25" customHeight="1" x14ac:dyDescent="0.25">
      <c r="A21" s="262" t="s">
        <v>1072</v>
      </c>
      <c r="B21" s="256"/>
      <c r="C21" s="621"/>
      <c r="D21" s="621"/>
      <c r="E21" s="621"/>
      <c r="F21" s="621"/>
      <c r="G21" s="621"/>
      <c r="H21" s="621"/>
      <c r="I21" s="621"/>
      <c r="J21" s="899">
        <f t="shared" si="5"/>
        <v>0</v>
      </c>
      <c r="K21" s="899">
        <f t="shared" si="6"/>
        <v>0</v>
      </c>
      <c r="L21" s="621">
        <v>0</v>
      </c>
      <c r="M21" s="1062">
        <v>0</v>
      </c>
      <c r="N21" s="844"/>
    </row>
    <row r="22" spans="1:14" ht="11.25" customHeight="1" x14ac:dyDescent="0.25">
      <c r="A22" s="262" t="s">
        <v>298</v>
      </c>
      <c r="B22" s="256"/>
      <c r="C22" s="621">
        <v>67104</v>
      </c>
      <c r="D22" s="621"/>
      <c r="E22" s="621"/>
      <c r="F22" s="621"/>
      <c r="G22" s="621"/>
      <c r="H22" s="621"/>
      <c r="I22" s="621"/>
      <c r="J22" s="899">
        <f t="shared" si="5"/>
        <v>0</v>
      </c>
      <c r="K22" s="899">
        <f t="shared" si="6"/>
        <v>67104</v>
      </c>
      <c r="L22" s="621">
        <v>67104</v>
      </c>
      <c r="M22" s="1062">
        <v>67104</v>
      </c>
      <c r="N22" s="844"/>
    </row>
    <row r="23" spans="1:14" ht="11.25" customHeight="1" x14ac:dyDescent="0.25">
      <c r="A23" s="262" t="s">
        <v>300</v>
      </c>
      <c r="B23" s="256"/>
      <c r="C23" s="621"/>
      <c r="D23" s="621"/>
      <c r="E23" s="621"/>
      <c r="F23" s="621"/>
      <c r="G23" s="621"/>
      <c r="H23" s="621"/>
      <c r="I23" s="621"/>
      <c r="J23" s="900">
        <f t="shared" si="5"/>
        <v>0</v>
      </c>
      <c r="K23" s="900">
        <f t="shared" si="6"/>
        <v>0</v>
      </c>
      <c r="L23" s="621"/>
      <c r="M23" s="1062"/>
      <c r="N23" s="844"/>
    </row>
    <row r="24" spans="1:14" ht="11.25" customHeight="1" x14ac:dyDescent="0.25">
      <c r="A24" s="835" t="str">
        <f>$A$12</f>
        <v>Minimum Service Level and Above sub-total</v>
      </c>
      <c r="B24" s="256"/>
      <c r="C24" s="712">
        <f t="shared" ref="C24:M24" si="7">SUM(C19:C23)</f>
        <v>81868</v>
      </c>
      <c r="D24" s="712">
        <f t="shared" si="7"/>
        <v>0</v>
      </c>
      <c r="E24" s="712">
        <f t="shared" si="7"/>
        <v>0</v>
      </c>
      <c r="F24" s="712">
        <f t="shared" si="7"/>
        <v>0</v>
      </c>
      <c r="G24" s="712">
        <f t="shared" si="7"/>
        <v>0</v>
      </c>
      <c r="H24" s="712">
        <f t="shared" si="7"/>
        <v>0</v>
      </c>
      <c r="I24" s="712">
        <f t="shared" si="7"/>
        <v>0</v>
      </c>
      <c r="J24" s="899">
        <f t="shared" si="5"/>
        <v>0</v>
      </c>
      <c r="K24" s="899">
        <f t="shared" si="6"/>
        <v>81868</v>
      </c>
      <c r="L24" s="712">
        <f t="shared" si="7"/>
        <v>81868</v>
      </c>
      <c r="M24" s="713">
        <f t="shared" si="7"/>
        <v>81868</v>
      </c>
      <c r="N24" s="844"/>
    </row>
    <row r="25" spans="1:14" ht="11.25" customHeight="1" x14ac:dyDescent="0.25">
      <c r="A25" s="262" t="s">
        <v>299</v>
      </c>
      <c r="B25" s="256"/>
      <c r="C25" s="621"/>
      <c r="D25" s="621"/>
      <c r="E25" s="621"/>
      <c r="F25" s="621"/>
      <c r="G25" s="621"/>
      <c r="H25" s="621"/>
      <c r="I25" s="621"/>
      <c r="J25" s="899">
        <f t="shared" si="5"/>
        <v>0</v>
      </c>
      <c r="K25" s="899">
        <f t="shared" si="6"/>
        <v>0</v>
      </c>
      <c r="L25" s="621"/>
      <c r="M25" s="1062"/>
      <c r="N25" s="844"/>
    </row>
    <row r="26" spans="1:14" ht="11.25" customHeight="1" x14ac:dyDescent="0.25">
      <c r="A26" s="262" t="s">
        <v>301</v>
      </c>
      <c r="B26" s="256"/>
      <c r="C26" s="621"/>
      <c r="D26" s="621"/>
      <c r="E26" s="621"/>
      <c r="F26" s="621"/>
      <c r="G26" s="621"/>
      <c r="H26" s="621"/>
      <c r="I26" s="621"/>
      <c r="J26" s="899">
        <f t="shared" si="5"/>
        <v>0</v>
      </c>
      <c r="K26" s="899">
        <f t="shared" si="6"/>
        <v>0</v>
      </c>
      <c r="L26" s="621"/>
      <c r="M26" s="1062"/>
      <c r="N26" s="844"/>
    </row>
    <row r="27" spans="1:14" ht="11.25" customHeight="1" x14ac:dyDescent="0.25">
      <c r="A27" s="262" t="s">
        <v>1073</v>
      </c>
      <c r="B27" s="256"/>
      <c r="C27" s="621">
        <v>27058</v>
      </c>
      <c r="D27" s="621"/>
      <c r="E27" s="621"/>
      <c r="F27" s="621"/>
      <c r="G27" s="621"/>
      <c r="H27" s="621"/>
      <c r="I27" s="621"/>
      <c r="J27" s="899">
        <f t="shared" si="5"/>
        <v>0</v>
      </c>
      <c r="K27" s="899">
        <f t="shared" si="6"/>
        <v>27058</v>
      </c>
      <c r="L27" s="621">
        <v>27058</v>
      </c>
      <c r="M27" s="1062">
        <v>27058</v>
      </c>
      <c r="N27" s="844"/>
    </row>
    <row r="28" spans="1:14" ht="11.25" customHeight="1" x14ac:dyDescent="0.25">
      <c r="A28" s="835" t="str">
        <f>$A$16</f>
        <v>Below Minimum Servic Level sub-total</v>
      </c>
      <c r="B28" s="256"/>
      <c r="C28" s="901">
        <f t="shared" ref="C28:M28" si="8">SUM(C25:C27)</f>
        <v>27058</v>
      </c>
      <c r="D28" s="901">
        <f t="shared" si="8"/>
        <v>0</v>
      </c>
      <c r="E28" s="901">
        <f t="shared" si="8"/>
        <v>0</v>
      </c>
      <c r="F28" s="901">
        <f t="shared" si="8"/>
        <v>0</v>
      </c>
      <c r="G28" s="901">
        <f t="shared" si="8"/>
        <v>0</v>
      </c>
      <c r="H28" s="901">
        <f t="shared" si="8"/>
        <v>0</v>
      </c>
      <c r="I28" s="901">
        <f t="shared" si="8"/>
        <v>0</v>
      </c>
      <c r="J28" s="901">
        <f t="shared" si="8"/>
        <v>0</v>
      </c>
      <c r="K28" s="901">
        <f t="shared" si="8"/>
        <v>27058</v>
      </c>
      <c r="L28" s="901">
        <f t="shared" si="8"/>
        <v>27058</v>
      </c>
      <c r="M28" s="902">
        <f t="shared" si="8"/>
        <v>27058</v>
      </c>
      <c r="N28" s="844"/>
    </row>
    <row r="29" spans="1:14" ht="11.25" customHeight="1" x14ac:dyDescent="0.25">
      <c r="A29" s="269" t="str">
        <f>$A$17</f>
        <v>Total number of households</v>
      </c>
      <c r="B29" s="256">
        <f>$B$17</f>
        <v>5</v>
      </c>
      <c r="C29" s="903">
        <f t="shared" ref="C29:M29" si="9">C24+C28</f>
        <v>108926</v>
      </c>
      <c r="D29" s="903">
        <f t="shared" si="9"/>
        <v>0</v>
      </c>
      <c r="E29" s="903">
        <f t="shared" si="9"/>
        <v>0</v>
      </c>
      <c r="F29" s="903">
        <f t="shared" si="9"/>
        <v>0</v>
      </c>
      <c r="G29" s="903">
        <f t="shared" si="9"/>
        <v>0</v>
      </c>
      <c r="H29" s="903">
        <f t="shared" si="9"/>
        <v>0</v>
      </c>
      <c r="I29" s="903">
        <f t="shared" si="9"/>
        <v>0</v>
      </c>
      <c r="J29" s="903">
        <f t="shared" si="9"/>
        <v>0</v>
      </c>
      <c r="K29" s="903">
        <f t="shared" si="9"/>
        <v>108926</v>
      </c>
      <c r="L29" s="903">
        <f t="shared" si="9"/>
        <v>108926</v>
      </c>
      <c r="M29" s="904">
        <f t="shared" si="9"/>
        <v>108926</v>
      </c>
      <c r="N29" s="844"/>
    </row>
    <row r="30" spans="1:14" ht="15.75" customHeight="1" x14ac:dyDescent="0.25">
      <c r="A30" s="260" t="s">
        <v>602</v>
      </c>
      <c r="B30" s="256"/>
      <c r="C30" s="132"/>
      <c r="D30" s="132"/>
      <c r="E30" s="132"/>
      <c r="F30" s="132"/>
      <c r="G30" s="132"/>
      <c r="H30" s="132"/>
      <c r="I30" s="132"/>
      <c r="J30" s="132"/>
      <c r="K30" s="132"/>
      <c r="L30" s="132"/>
      <c r="M30" s="133"/>
      <c r="N30" s="844"/>
    </row>
    <row r="31" spans="1:14" ht="11.25" customHeight="1" x14ac:dyDescent="0.25">
      <c r="A31" s="262" t="s">
        <v>302</v>
      </c>
      <c r="B31" s="256"/>
      <c r="C31" s="621">
        <v>13000</v>
      </c>
      <c r="D31" s="621"/>
      <c r="E31" s="621"/>
      <c r="F31" s="621"/>
      <c r="G31" s="621"/>
      <c r="H31" s="621"/>
      <c r="I31" s="621"/>
      <c r="J31" s="899">
        <f t="shared" ref="J31:J36" si="10">SUM(E31:I31)</f>
        <v>0</v>
      </c>
      <c r="K31" s="899">
        <f t="shared" ref="K31:K36" si="11">IF(D31=0,C31+J31,D31+J31)</f>
        <v>13000</v>
      </c>
      <c r="L31" s="621">
        <v>13200</v>
      </c>
      <c r="M31" s="1062">
        <v>13500</v>
      </c>
      <c r="N31" s="844"/>
    </row>
    <row r="32" spans="1:14" ht="11.25" customHeight="1" x14ac:dyDescent="0.25">
      <c r="A32" s="262" t="s">
        <v>303</v>
      </c>
      <c r="B32" s="256"/>
      <c r="C32" s="621">
        <v>1350</v>
      </c>
      <c r="D32" s="621"/>
      <c r="E32" s="621"/>
      <c r="F32" s="621"/>
      <c r="G32" s="621"/>
      <c r="H32" s="621"/>
      <c r="I32" s="621"/>
      <c r="J32" s="899">
        <f t="shared" si="10"/>
        <v>0</v>
      </c>
      <c r="K32" s="899">
        <f t="shared" si="11"/>
        <v>1350</v>
      </c>
      <c r="L32" s="621">
        <v>1420</v>
      </c>
      <c r="M32" s="1062">
        <v>1500</v>
      </c>
      <c r="N32" s="844"/>
    </row>
    <row r="33" spans="1:14" ht="11.25" customHeight="1" x14ac:dyDescent="0.25">
      <c r="A33" s="835" t="str">
        <f>$A$12</f>
        <v>Minimum Service Level and Above sub-total</v>
      </c>
      <c r="B33" s="256"/>
      <c r="C33" s="712">
        <f t="shared" ref="C33:M33" si="12">SUM(C31:C32)</f>
        <v>14350</v>
      </c>
      <c r="D33" s="712">
        <f t="shared" si="12"/>
        <v>0</v>
      </c>
      <c r="E33" s="712">
        <f t="shared" si="12"/>
        <v>0</v>
      </c>
      <c r="F33" s="712">
        <f t="shared" si="12"/>
        <v>0</v>
      </c>
      <c r="G33" s="712">
        <f t="shared" si="12"/>
        <v>0</v>
      </c>
      <c r="H33" s="712">
        <f t="shared" si="12"/>
        <v>0</v>
      </c>
      <c r="I33" s="712">
        <f t="shared" si="12"/>
        <v>0</v>
      </c>
      <c r="J33" s="712">
        <f t="shared" si="10"/>
        <v>0</v>
      </c>
      <c r="K33" s="712">
        <f t="shared" si="11"/>
        <v>14350</v>
      </c>
      <c r="L33" s="712">
        <f t="shared" si="12"/>
        <v>14620</v>
      </c>
      <c r="M33" s="713">
        <f t="shared" si="12"/>
        <v>15000</v>
      </c>
      <c r="N33" s="844"/>
    </row>
    <row r="34" spans="1:14" ht="11.25" customHeight="1" x14ac:dyDescent="0.25">
      <c r="A34" s="262" t="s">
        <v>1074</v>
      </c>
      <c r="B34" s="256"/>
      <c r="C34" s="621"/>
      <c r="D34" s="621"/>
      <c r="E34" s="621"/>
      <c r="F34" s="621"/>
      <c r="G34" s="621"/>
      <c r="H34" s="621"/>
      <c r="I34" s="621"/>
      <c r="J34" s="899">
        <f t="shared" si="10"/>
        <v>0</v>
      </c>
      <c r="K34" s="899">
        <f t="shared" si="11"/>
        <v>0</v>
      </c>
      <c r="L34" s="621"/>
      <c r="M34" s="1062"/>
      <c r="N34" s="844"/>
    </row>
    <row r="35" spans="1:14" ht="11.25" customHeight="1" x14ac:dyDescent="0.25">
      <c r="A35" s="262" t="s">
        <v>1075</v>
      </c>
      <c r="B35" s="256"/>
      <c r="C35" s="621"/>
      <c r="D35" s="621"/>
      <c r="E35" s="621"/>
      <c r="F35" s="621"/>
      <c r="G35" s="621"/>
      <c r="H35" s="621"/>
      <c r="I35" s="621"/>
      <c r="J35" s="899">
        <f t="shared" si="10"/>
        <v>0</v>
      </c>
      <c r="K35" s="899">
        <f t="shared" si="11"/>
        <v>0</v>
      </c>
      <c r="L35" s="621"/>
      <c r="M35" s="1062"/>
      <c r="N35" s="844"/>
    </row>
    <row r="36" spans="1:14" ht="11.25" customHeight="1" x14ac:dyDescent="0.25">
      <c r="A36" s="262" t="s">
        <v>1076</v>
      </c>
      <c r="B36" s="256"/>
      <c r="C36" s="621"/>
      <c r="D36" s="621"/>
      <c r="E36" s="621"/>
      <c r="F36" s="621"/>
      <c r="G36" s="621"/>
      <c r="H36" s="621"/>
      <c r="I36" s="621"/>
      <c r="J36" s="899">
        <f t="shared" si="10"/>
        <v>0</v>
      </c>
      <c r="K36" s="899">
        <f t="shared" si="11"/>
        <v>0</v>
      </c>
      <c r="L36" s="621"/>
      <c r="M36" s="1062"/>
      <c r="N36" s="844"/>
    </row>
    <row r="37" spans="1:14" ht="11.25" customHeight="1" x14ac:dyDescent="0.25">
      <c r="A37" s="835" t="str">
        <f>$A$16</f>
        <v>Below Minimum Servic Level sub-total</v>
      </c>
      <c r="B37" s="256"/>
      <c r="C37" s="901">
        <f t="shared" ref="C37:M37" si="13">SUM(C34:C36)</f>
        <v>0</v>
      </c>
      <c r="D37" s="901">
        <f t="shared" si="13"/>
        <v>0</v>
      </c>
      <c r="E37" s="901">
        <f t="shared" si="13"/>
        <v>0</v>
      </c>
      <c r="F37" s="901">
        <f t="shared" si="13"/>
        <v>0</v>
      </c>
      <c r="G37" s="901">
        <f t="shared" si="13"/>
        <v>0</v>
      </c>
      <c r="H37" s="901">
        <f t="shared" si="13"/>
        <v>0</v>
      </c>
      <c r="I37" s="901">
        <f t="shared" si="13"/>
        <v>0</v>
      </c>
      <c r="J37" s="901">
        <f t="shared" si="13"/>
        <v>0</v>
      </c>
      <c r="K37" s="901">
        <f t="shared" si="13"/>
        <v>0</v>
      </c>
      <c r="L37" s="901">
        <f t="shared" si="13"/>
        <v>0</v>
      </c>
      <c r="M37" s="902">
        <f t="shared" si="13"/>
        <v>0</v>
      </c>
      <c r="N37" s="844"/>
    </row>
    <row r="38" spans="1:14" ht="11.25" customHeight="1" x14ac:dyDescent="0.25">
      <c r="A38" s="269" t="str">
        <f>$A$17</f>
        <v>Total number of households</v>
      </c>
      <c r="B38" s="256">
        <f>$B$17</f>
        <v>5</v>
      </c>
      <c r="C38" s="712">
        <f t="shared" ref="C38:M38" si="14">C33+C37</f>
        <v>14350</v>
      </c>
      <c r="D38" s="712">
        <f t="shared" si="14"/>
        <v>0</v>
      </c>
      <c r="E38" s="712">
        <f t="shared" si="14"/>
        <v>0</v>
      </c>
      <c r="F38" s="712">
        <f t="shared" si="14"/>
        <v>0</v>
      </c>
      <c r="G38" s="712">
        <f t="shared" si="14"/>
        <v>0</v>
      </c>
      <c r="H38" s="712">
        <f t="shared" si="14"/>
        <v>0</v>
      </c>
      <c r="I38" s="712">
        <f t="shared" si="14"/>
        <v>0</v>
      </c>
      <c r="J38" s="712">
        <f t="shared" si="14"/>
        <v>0</v>
      </c>
      <c r="K38" s="712">
        <f t="shared" si="14"/>
        <v>14350</v>
      </c>
      <c r="L38" s="712">
        <f t="shared" si="14"/>
        <v>14620</v>
      </c>
      <c r="M38" s="713">
        <f t="shared" si="14"/>
        <v>15000</v>
      </c>
      <c r="N38" s="844"/>
    </row>
    <row r="39" spans="1:14" ht="15.75" customHeight="1" x14ac:dyDescent="0.25">
      <c r="A39" s="260" t="s">
        <v>603</v>
      </c>
      <c r="B39" s="256"/>
      <c r="C39" s="132"/>
      <c r="D39" s="132"/>
      <c r="E39" s="132"/>
      <c r="F39" s="132"/>
      <c r="G39" s="132"/>
      <c r="H39" s="132"/>
      <c r="I39" s="132"/>
      <c r="J39" s="132"/>
      <c r="K39" s="132"/>
      <c r="L39" s="132"/>
      <c r="M39" s="133"/>
      <c r="N39" s="844"/>
    </row>
    <row r="40" spans="1:14" ht="11.25" customHeight="1" x14ac:dyDescent="0.25">
      <c r="A40" s="262" t="s">
        <v>1077</v>
      </c>
      <c r="B40" s="256"/>
      <c r="C40" s="624">
        <v>9059</v>
      </c>
      <c r="D40" s="624"/>
      <c r="E40" s="624"/>
      <c r="F40" s="624"/>
      <c r="G40" s="624"/>
      <c r="H40" s="624"/>
      <c r="I40" s="624"/>
      <c r="J40" s="900">
        <f t="shared" ref="J40:J46" si="15">SUM(E40:I40)</f>
        <v>0</v>
      </c>
      <c r="K40" s="900">
        <f t="shared" ref="K40:K46" si="16">IF(D40=0,C40+J40,D40+J40)</f>
        <v>9059</v>
      </c>
      <c r="L40" s="624">
        <v>9059</v>
      </c>
      <c r="M40" s="1063">
        <v>9059</v>
      </c>
      <c r="N40" s="844"/>
    </row>
    <row r="41" spans="1:14" ht="11.25" customHeight="1" x14ac:dyDescent="0.25">
      <c r="A41" s="262" t="str">
        <f>$A$12</f>
        <v>Minimum Service Level and Above sub-total</v>
      </c>
      <c r="B41" s="256"/>
      <c r="C41" s="899">
        <f t="shared" ref="C41:I41" si="17">SUM(C40)</f>
        <v>9059</v>
      </c>
      <c r="D41" s="899">
        <f t="shared" si="17"/>
        <v>0</v>
      </c>
      <c r="E41" s="899">
        <f t="shared" si="17"/>
        <v>0</v>
      </c>
      <c r="F41" s="899">
        <f t="shared" si="17"/>
        <v>0</v>
      </c>
      <c r="G41" s="899">
        <f t="shared" si="17"/>
        <v>0</v>
      </c>
      <c r="H41" s="899">
        <f t="shared" si="17"/>
        <v>0</v>
      </c>
      <c r="I41" s="899">
        <f t="shared" si="17"/>
        <v>0</v>
      </c>
      <c r="J41" s="899">
        <f>SUM(E41:I41)</f>
        <v>0</v>
      </c>
      <c r="K41" s="899">
        <f t="shared" si="16"/>
        <v>9059</v>
      </c>
      <c r="L41" s="899">
        <f>SUM(L40)</f>
        <v>9059</v>
      </c>
      <c r="M41" s="905">
        <f>SUM(M40)</f>
        <v>9059</v>
      </c>
      <c r="N41" s="844"/>
    </row>
    <row r="42" spans="1:14" ht="11.25" customHeight="1" x14ac:dyDescent="0.25">
      <c r="A42" s="262" t="s">
        <v>1078</v>
      </c>
      <c r="B42" s="256"/>
      <c r="C42" s="621">
        <v>47822</v>
      </c>
      <c r="D42" s="621"/>
      <c r="E42" s="621"/>
      <c r="F42" s="621"/>
      <c r="G42" s="621"/>
      <c r="H42" s="621"/>
      <c r="I42" s="621"/>
      <c r="J42" s="899">
        <f t="shared" si="15"/>
        <v>0</v>
      </c>
      <c r="K42" s="899">
        <f t="shared" si="16"/>
        <v>47822</v>
      </c>
      <c r="L42" s="621">
        <v>47822</v>
      </c>
      <c r="M42" s="1062">
        <v>47822</v>
      </c>
      <c r="N42" s="844"/>
    </row>
    <row r="43" spans="1:14" ht="11.25" customHeight="1" x14ac:dyDescent="0.25">
      <c r="A43" s="262" t="s">
        <v>1079</v>
      </c>
      <c r="B43" s="256"/>
      <c r="C43" s="621">
        <v>65895</v>
      </c>
      <c r="D43" s="621"/>
      <c r="E43" s="621"/>
      <c r="F43" s="621"/>
      <c r="G43" s="621"/>
      <c r="H43" s="621"/>
      <c r="I43" s="621"/>
      <c r="J43" s="899">
        <f t="shared" si="15"/>
        <v>0</v>
      </c>
      <c r="K43" s="899">
        <f t="shared" si="16"/>
        <v>65895</v>
      </c>
      <c r="L43" s="621">
        <v>69670</v>
      </c>
      <c r="M43" s="1062">
        <v>73574</v>
      </c>
      <c r="N43" s="844"/>
    </row>
    <row r="44" spans="1:14" ht="11.25" customHeight="1" x14ac:dyDescent="0.25">
      <c r="A44" s="262" t="s">
        <v>1080</v>
      </c>
      <c r="B44" s="256"/>
      <c r="C44" s="621"/>
      <c r="D44" s="621"/>
      <c r="E44" s="621"/>
      <c r="F44" s="621"/>
      <c r="G44" s="621"/>
      <c r="H44" s="621"/>
      <c r="I44" s="621"/>
      <c r="J44" s="899">
        <f t="shared" si="15"/>
        <v>0</v>
      </c>
      <c r="K44" s="899">
        <f t="shared" si="16"/>
        <v>0</v>
      </c>
      <c r="L44" s="621"/>
      <c r="M44" s="1062"/>
      <c r="N44" s="844"/>
    </row>
    <row r="45" spans="1:14" ht="11.25" customHeight="1" x14ac:dyDescent="0.25">
      <c r="A45" s="262" t="s">
        <v>1081</v>
      </c>
      <c r="B45" s="256"/>
      <c r="C45" s="621"/>
      <c r="D45" s="621"/>
      <c r="E45" s="621"/>
      <c r="F45" s="621"/>
      <c r="G45" s="621"/>
      <c r="H45" s="621"/>
      <c r="I45" s="621"/>
      <c r="J45" s="899">
        <f t="shared" si="15"/>
        <v>0</v>
      </c>
      <c r="K45" s="899">
        <f t="shared" si="16"/>
        <v>0</v>
      </c>
      <c r="L45" s="621"/>
      <c r="M45" s="1062"/>
      <c r="N45" s="844"/>
    </row>
    <row r="46" spans="1:14" ht="11.25" customHeight="1" x14ac:dyDescent="0.25">
      <c r="A46" s="262" t="s">
        <v>1082</v>
      </c>
      <c r="B46" s="256"/>
      <c r="C46" s="621"/>
      <c r="D46" s="621"/>
      <c r="E46" s="621"/>
      <c r="F46" s="621"/>
      <c r="G46" s="621"/>
      <c r="H46" s="621"/>
      <c r="I46" s="621"/>
      <c r="J46" s="899">
        <f t="shared" si="15"/>
        <v>0</v>
      </c>
      <c r="K46" s="899">
        <f t="shared" si="16"/>
        <v>0</v>
      </c>
      <c r="L46" s="621"/>
      <c r="M46" s="1062"/>
      <c r="N46" s="844"/>
    </row>
    <row r="47" spans="1:14" ht="11.25" customHeight="1" x14ac:dyDescent="0.25">
      <c r="A47" s="835" t="str">
        <f>$A$16</f>
        <v>Below Minimum Servic Level sub-total</v>
      </c>
      <c r="B47" s="256"/>
      <c r="C47" s="901">
        <f t="shared" ref="C47:M47" si="18">SUM(C42:C46)</f>
        <v>113717</v>
      </c>
      <c r="D47" s="901">
        <f t="shared" si="18"/>
        <v>0</v>
      </c>
      <c r="E47" s="901">
        <f t="shared" si="18"/>
        <v>0</v>
      </c>
      <c r="F47" s="901">
        <f t="shared" si="18"/>
        <v>0</v>
      </c>
      <c r="G47" s="901">
        <f t="shared" si="18"/>
        <v>0</v>
      </c>
      <c r="H47" s="901">
        <f t="shared" si="18"/>
        <v>0</v>
      </c>
      <c r="I47" s="901">
        <f t="shared" si="18"/>
        <v>0</v>
      </c>
      <c r="J47" s="901">
        <f t="shared" si="18"/>
        <v>0</v>
      </c>
      <c r="K47" s="901">
        <f t="shared" si="18"/>
        <v>113717</v>
      </c>
      <c r="L47" s="901">
        <f t="shared" si="18"/>
        <v>117492</v>
      </c>
      <c r="M47" s="902">
        <f t="shared" si="18"/>
        <v>121396</v>
      </c>
      <c r="N47" s="844"/>
    </row>
    <row r="48" spans="1:14" ht="11.25" customHeight="1" x14ac:dyDescent="0.25">
      <c r="A48" s="269" t="str">
        <f>$A$17</f>
        <v>Total number of households</v>
      </c>
      <c r="B48" s="256">
        <f>$B$17</f>
        <v>5</v>
      </c>
      <c r="C48" s="903">
        <f t="shared" ref="C48:I48" si="19">C41+C47</f>
        <v>122776</v>
      </c>
      <c r="D48" s="903">
        <f t="shared" si="19"/>
        <v>0</v>
      </c>
      <c r="E48" s="903">
        <f t="shared" si="19"/>
        <v>0</v>
      </c>
      <c r="F48" s="903">
        <f t="shared" si="19"/>
        <v>0</v>
      </c>
      <c r="G48" s="903">
        <f t="shared" si="19"/>
        <v>0</v>
      </c>
      <c r="H48" s="903">
        <f t="shared" si="19"/>
        <v>0</v>
      </c>
      <c r="I48" s="903">
        <f t="shared" si="19"/>
        <v>0</v>
      </c>
      <c r="J48" s="903">
        <f>J40+J47</f>
        <v>0</v>
      </c>
      <c r="K48" s="903">
        <f>K40+K47</f>
        <v>122776</v>
      </c>
      <c r="L48" s="903">
        <f>L41+L47</f>
        <v>126551</v>
      </c>
      <c r="M48" s="904">
        <f>M41+M47</f>
        <v>130455</v>
      </c>
      <c r="N48" s="844"/>
    </row>
    <row r="49" spans="1:14" ht="4.9000000000000004" customHeight="1" x14ac:dyDescent="0.25">
      <c r="A49" s="273"/>
      <c r="B49" s="274"/>
      <c r="C49" s="272"/>
      <c r="D49" s="272"/>
      <c r="E49" s="272"/>
      <c r="F49" s="272"/>
      <c r="G49" s="272"/>
      <c r="H49" s="272"/>
      <c r="I49" s="272"/>
      <c r="J49" s="272"/>
      <c r="K49" s="272"/>
      <c r="L49" s="272"/>
      <c r="M49" s="275"/>
      <c r="N49" s="844"/>
    </row>
    <row r="50" spans="1:14" ht="15.75" customHeight="1" x14ac:dyDescent="0.25">
      <c r="A50" s="255" t="s">
        <v>1083</v>
      </c>
      <c r="B50" s="256">
        <v>15</v>
      </c>
      <c r="C50" s="265"/>
      <c r="D50" s="132"/>
      <c r="E50" s="132"/>
      <c r="F50" s="132"/>
      <c r="G50" s="132"/>
      <c r="H50" s="132"/>
      <c r="I50" s="132"/>
      <c r="J50" s="132"/>
      <c r="K50" s="132"/>
      <c r="L50" s="132"/>
      <c r="M50" s="133"/>
      <c r="N50" s="844"/>
    </row>
    <row r="51" spans="1:14" ht="11.25" customHeight="1" x14ac:dyDescent="0.25">
      <c r="A51" s="262" t="s">
        <v>1085</v>
      </c>
      <c r="B51" s="256"/>
      <c r="C51" s="132">
        <f>'SB5'!E263</f>
        <v>1461</v>
      </c>
      <c r="D51" s="132">
        <f>'SB5'!F263</f>
        <v>0</v>
      </c>
      <c r="E51" s="132">
        <f>'SB5'!G263</f>
        <v>0</v>
      </c>
      <c r="F51" s="132">
        <f>'SB5'!H263</f>
        <v>0</v>
      </c>
      <c r="G51" s="132">
        <f>'SB5'!I263</f>
        <v>0</v>
      </c>
      <c r="H51" s="132">
        <f>'SB5'!J263</f>
        <v>0</v>
      </c>
      <c r="I51" s="132">
        <f>'SB5'!K263</f>
        <v>0</v>
      </c>
      <c r="J51" s="132">
        <f>SUM(E51:I51)</f>
        <v>0</v>
      </c>
      <c r="K51" s="132">
        <f>IF(D51=0,C51+J51,D51+J51)</f>
        <v>1461</v>
      </c>
      <c r="L51" s="132">
        <f>'SB5'!N263</f>
        <v>1480</v>
      </c>
      <c r="M51" s="133">
        <f>'SB5'!O263</f>
        <v>1550</v>
      </c>
      <c r="N51" s="844"/>
    </row>
    <row r="52" spans="1:14" ht="11.25" customHeight="1" x14ac:dyDescent="0.25">
      <c r="A52" s="262" t="s">
        <v>1127</v>
      </c>
      <c r="B52" s="256"/>
      <c r="C52" s="132">
        <f>'SB5'!E275</f>
        <v>1461</v>
      </c>
      <c r="D52" s="132">
        <f>'SB5'!F275</f>
        <v>0</v>
      </c>
      <c r="E52" s="132">
        <f>'SB5'!G275</f>
        <v>0</v>
      </c>
      <c r="F52" s="132">
        <f>'SB5'!H275</f>
        <v>0</v>
      </c>
      <c r="G52" s="132">
        <f>'SB5'!I275</f>
        <v>0</v>
      </c>
      <c r="H52" s="132">
        <f>'SB5'!J275</f>
        <v>0</v>
      </c>
      <c r="I52" s="132">
        <f>'SB5'!K275</f>
        <v>0</v>
      </c>
      <c r="J52" s="132">
        <f>SUM(E52:I52)</f>
        <v>0</v>
      </c>
      <c r="K52" s="132">
        <f>IF(D52=0,C52+J52,D52+J52)</f>
        <v>1461</v>
      </c>
      <c r="L52" s="132">
        <f>'SB5'!N275</f>
        <v>1480</v>
      </c>
      <c r="M52" s="133">
        <f>'SB5'!O275</f>
        <v>1550</v>
      </c>
      <c r="N52" s="844"/>
    </row>
    <row r="53" spans="1:14" ht="11.25" customHeight="1" x14ac:dyDescent="0.25">
      <c r="A53" s="262" t="s">
        <v>1086</v>
      </c>
      <c r="B53" s="256"/>
      <c r="C53" s="132">
        <f>'SB5'!E251</f>
        <v>6000</v>
      </c>
      <c r="D53" s="132">
        <f>'SB5'!F251</f>
        <v>0</v>
      </c>
      <c r="E53" s="132">
        <f>'SB5'!G251</f>
        <v>0</v>
      </c>
      <c r="F53" s="132">
        <f>'SB5'!H251</f>
        <v>0</v>
      </c>
      <c r="G53" s="132">
        <f>'SB5'!I251</f>
        <v>0</v>
      </c>
      <c r="H53" s="132">
        <f>'SB5'!J251</f>
        <v>0</v>
      </c>
      <c r="I53" s="132">
        <f>'SB5'!K251</f>
        <v>0</v>
      </c>
      <c r="J53" s="132">
        <f>SUM(E53:I53)</f>
        <v>0</v>
      </c>
      <c r="K53" s="132">
        <f>IF(D53=0,C53+J53,D53+J53)</f>
        <v>6000</v>
      </c>
      <c r="L53" s="132">
        <f>'SB5'!N251</f>
        <v>6000</v>
      </c>
      <c r="M53" s="133">
        <f>'SB5'!O251</f>
        <v>6000</v>
      </c>
      <c r="N53" s="844"/>
    </row>
    <row r="54" spans="1:14" ht="11.25" customHeight="1" x14ac:dyDescent="0.25">
      <c r="A54" s="276" t="s">
        <v>1128</v>
      </c>
      <c r="B54" s="274"/>
      <c r="C54" s="272">
        <f>'SB5'!E287</f>
        <v>1218</v>
      </c>
      <c r="D54" s="272">
        <f>'SB5'!F287</f>
        <v>0</v>
      </c>
      <c r="E54" s="272">
        <f>'SB5'!G287</f>
        <v>0</v>
      </c>
      <c r="F54" s="272">
        <f>'SB5'!H287</f>
        <v>0</v>
      </c>
      <c r="G54" s="272">
        <f>'SB5'!I287</f>
        <v>0</v>
      </c>
      <c r="H54" s="272">
        <f>'SB5'!J287</f>
        <v>0</v>
      </c>
      <c r="I54" s="272">
        <f>'SB5'!K287</f>
        <v>0</v>
      </c>
      <c r="J54" s="272">
        <f>SUM(E54:I54)</f>
        <v>0</v>
      </c>
      <c r="K54" s="272">
        <f>IF(D54=0,C54+J54,D54+J54)</f>
        <v>1218</v>
      </c>
      <c r="L54" s="272">
        <f>'SB5'!N287</f>
        <v>1230</v>
      </c>
      <c r="M54" s="275">
        <f>'SB5'!O287</f>
        <v>1250</v>
      </c>
      <c r="N54" s="844"/>
    </row>
    <row r="55" spans="1:14" ht="4.9000000000000004" customHeight="1" x14ac:dyDescent="0.25">
      <c r="A55" s="277"/>
      <c r="B55" s="256"/>
      <c r="C55" s="132"/>
      <c r="D55" s="132"/>
      <c r="E55" s="132"/>
      <c r="F55" s="132"/>
      <c r="G55" s="132"/>
      <c r="H55" s="132"/>
      <c r="I55" s="132"/>
      <c r="J55" s="132"/>
      <c r="K55" s="132"/>
      <c r="L55" s="132"/>
      <c r="M55" s="133"/>
      <c r="N55" s="844"/>
    </row>
    <row r="56" spans="1:14" ht="11.25" customHeight="1" x14ac:dyDescent="0.25">
      <c r="A56" s="255" t="s">
        <v>1084</v>
      </c>
      <c r="B56" s="256">
        <v>16</v>
      </c>
      <c r="C56" s="684" t="s">
        <v>1756</v>
      </c>
      <c r="D56" s="685"/>
      <c r="E56" s="685"/>
      <c r="F56" s="685"/>
      <c r="G56" s="685"/>
      <c r="H56" s="685"/>
      <c r="I56" s="685"/>
      <c r="J56" s="132"/>
      <c r="K56" s="132"/>
      <c r="L56" s="685"/>
      <c r="M56" s="686"/>
      <c r="N56" s="844"/>
    </row>
    <row r="57" spans="1:14" x14ac:dyDescent="0.25">
      <c r="A57" s="1291" t="s">
        <v>1735</v>
      </c>
      <c r="B57" s="256"/>
      <c r="C57" s="791">
        <f>'SB1'!C21</f>
        <v>530000</v>
      </c>
      <c r="D57" s="791">
        <f>'SB1'!D21</f>
        <v>0</v>
      </c>
      <c r="E57" s="791">
        <f>'SB1'!E21</f>
        <v>0</v>
      </c>
      <c r="F57" s="791">
        <f>'SB1'!F21</f>
        <v>0</v>
      </c>
      <c r="G57" s="791">
        <f>'SB1'!G21</f>
        <v>0</v>
      </c>
      <c r="H57" s="791">
        <f>'SB1'!H21</f>
        <v>0</v>
      </c>
      <c r="I57" s="791">
        <f>'SB1'!I21</f>
        <v>0</v>
      </c>
      <c r="J57" s="132">
        <f>SUM(E57:I57)</f>
        <v>0</v>
      </c>
      <c r="K57" s="132">
        <f>IF(D57=0,C57+J57,D57+J57)</f>
        <v>530000</v>
      </c>
      <c r="L57" s="132">
        <f>'SB1'!L21</f>
        <v>535000</v>
      </c>
      <c r="M57" s="133">
        <f>'SB1'!M21</f>
        <v>540000</v>
      </c>
      <c r="N57" s="844"/>
    </row>
    <row r="58" spans="1:14" ht="13.9" customHeight="1" x14ac:dyDescent="0.25">
      <c r="A58" s="1291" t="s">
        <v>1736</v>
      </c>
      <c r="B58" s="256"/>
      <c r="C58" s="791">
        <f>'SB1'!C27</f>
        <v>185000</v>
      </c>
      <c r="D58" s="132">
        <f>'SB1'!D27</f>
        <v>0</v>
      </c>
      <c r="E58" s="132">
        <f>'SB1'!E27</f>
        <v>0</v>
      </c>
      <c r="F58" s="132">
        <f>'SB1'!F27</f>
        <v>0</v>
      </c>
      <c r="G58" s="132">
        <f>'SB1'!G27</f>
        <v>0</v>
      </c>
      <c r="H58" s="132">
        <f>'SB1'!H27</f>
        <v>0</v>
      </c>
      <c r="I58" s="132">
        <f>'SB1'!I27</f>
        <v>0</v>
      </c>
      <c r="J58" s="132">
        <f>SUM(E58:I58)</f>
        <v>0</v>
      </c>
      <c r="K58" s="132">
        <f>IF(D58=0,C58+J58,D58+J58)</f>
        <v>185000</v>
      </c>
      <c r="L58" s="132">
        <f>'SB1'!L27</f>
        <v>210000</v>
      </c>
      <c r="M58" s="133">
        <f>'SB1'!M27</f>
        <v>260000</v>
      </c>
      <c r="N58" s="844"/>
    </row>
    <row r="59" spans="1:14" ht="12.4" customHeight="1" x14ac:dyDescent="0.25">
      <c r="A59" s="1291" t="s">
        <v>1737</v>
      </c>
      <c r="B59" s="256"/>
      <c r="C59" s="791">
        <f>'SB1'!C15</f>
        <v>4000000</v>
      </c>
      <c r="D59" s="132">
        <f>'SB1'!D15</f>
        <v>0</v>
      </c>
      <c r="E59" s="132">
        <f>'SB1'!E15</f>
        <v>0</v>
      </c>
      <c r="F59" s="132">
        <f>'SB1'!F15</f>
        <v>0</v>
      </c>
      <c r="G59" s="132">
        <f>'SB1'!G15</f>
        <v>0</v>
      </c>
      <c r="H59" s="132">
        <f>'SB1'!H15</f>
        <v>0</v>
      </c>
      <c r="I59" s="132">
        <f>'SB1'!I15</f>
        <v>0</v>
      </c>
      <c r="J59" s="132">
        <f>SUM(E59:I59)</f>
        <v>0</v>
      </c>
      <c r="K59" s="132">
        <f>IF(D59=0,C59+J59,D59+J59)</f>
        <v>4000000</v>
      </c>
      <c r="L59" s="132">
        <f>'SB1'!L15</f>
        <v>4500000</v>
      </c>
      <c r="M59" s="133">
        <f>'SB1'!M15</f>
        <v>5000000</v>
      </c>
      <c r="N59" s="844"/>
    </row>
    <row r="60" spans="1:14" ht="12" customHeight="1" x14ac:dyDescent="0.25">
      <c r="A60" s="1291" t="s">
        <v>1738</v>
      </c>
      <c r="B60" s="256"/>
      <c r="C60" s="791">
        <f>'SB1'!C34</f>
        <v>1568000</v>
      </c>
      <c r="D60" s="132">
        <f>'SB1'!D34</f>
        <v>0</v>
      </c>
      <c r="E60" s="132">
        <f>'SB1'!E34</f>
        <v>0</v>
      </c>
      <c r="F60" s="132">
        <f>'SB1'!F34</f>
        <v>0</v>
      </c>
      <c r="G60" s="132">
        <f>'SB1'!G34</f>
        <v>0</v>
      </c>
      <c r="H60" s="132">
        <f>'SB1'!H34</f>
        <v>0</v>
      </c>
      <c r="I60" s="132">
        <f>'SB1'!I34</f>
        <v>0</v>
      </c>
      <c r="J60" s="132">
        <f>SUM(E60:I60)</f>
        <v>0</v>
      </c>
      <c r="K60" s="132">
        <f>IF(D60=0,C60+J60,D60+J60)</f>
        <v>1568000</v>
      </c>
      <c r="L60" s="132">
        <f>'SB1'!L34</f>
        <v>1580000</v>
      </c>
      <c r="M60" s="133">
        <f>'SB1'!M34</f>
        <v>1600000</v>
      </c>
      <c r="N60" s="844"/>
    </row>
    <row r="61" spans="1:14" ht="25.5" x14ac:dyDescent="0.25">
      <c r="A61" s="1293" t="s">
        <v>1739</v>
      </c>
      <c r="B61" s="256"/>
      <c r="C61" s="791">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44"/>
    </row>
    <row r="62" spans="1:14" ht="12" customHeight="1" x14ac:dyDescent="0.25">
      <c r="A62" s="1292" t="s">
        <v>1740</v>
      </c>
      <c r="B62" s="256"/>
      <c r="C62" s="898">
        <f>SUM(C57:C61)</f>
        <v>6283000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6283000</v>
      </c>
      <c r="L62" s="265">
        <f t="shared" si="20"/>
        <v>6825000</v>
      </c>
      <c r="M62" s="266">
        <f t="shared" si="20"/>
        <v>7400000</v>
      </c>
      <c r="N62" s="844"/>
    </row>
    <row r="63" spans="1:14" ht="15.4" customHeight="1" x14ac:dyDescent="0.25">
      <c r="A63" s="279"/>
      <c r="B63" s="256"/>
      <c r="C63" s="132"/>
      <c r="D63" s="132"/>
      <c r="E63" s="132"/>
      <c r="F63" s="132"/>
      <c r="G63" s="132"/>
      <c r="H63" s="132"/>
      <c r="I63" s="132"/>
      <c r="J63" s="132"/>
      <c r="K63" s="132"/>
      <c r="L63" s="132"/>
      <c r="M63" s="133"/>
      <c r="N63" s="844"/>
    </row>
    <row r="64" spans="1:14" ht="11.25" customHeight="1" x14ac:dyDescent="0.25">
      <c r="A64" s="255" t="s">
        <v>1087</v>
      </c>
      <c r="B64" s="280"/>
      <c r="C64" s="265"/>
      <c r="D64" s="265"/>
      <c r="E64" s="265"/>
      <c r="F64" s="265"/>
      <c r="G64" s="265"/>
      <c r="H64" s="265"/>
      <c r="I64" s="265"/>
      <c r="J64" s="265"/>
      <c r="K64" s="265"/>
      <c r="L64" s="265"/>
      <c r="M64" s="266"/>
      <c r="N64" s="844"/>
    </row>
    <row r="65" spans="1:14" ht="11.25" customHeight="1" x14ac:dyDescent="0.25">
      <c r="A65" s="262" t="s">
        <v>1088</v>
      </c>
      <c r="B65" s="256"/>
      <c r="C65" s="1064">
        <v>15000</v>
      </c>
      <c r="D65" s="621"/>
      <c r="E65" s="621"/>
      <c r="F65" s="621"/>
      <c r="G65" s="621"/>
      <c r="H65" s="621"/>
      <c r="I65" s="621"/>
      <c r="J65" s="899">
        <f t="shared" ref="J65:J70" si="21">SUM(E65:I65)</f>
        <v>0</v>
      </c>
      <c r="K65" s="899">
        <f t="shared" ref="K65:K70" si="22">IF(D65=0,C65+J65,D65+J65)</f>
        <v>15000</v>
      </c>
      <c r="L65" s="621">
        <v>15000</v>
      </c>
      <c r="M65" s="1062">
        <v>15000</v>
      </c>
      <c r="N65" s="844"/>
    </row>
    <row r="66" spans="1:14" ht="11.25" customHeight="1" x14ac:dyDescent="0.25">
      <c r="A66" s="262" t="s">
        <v>1089</v>
      </c>
      <c r="B66" s="256"/>
      <c r="C66" s="1064">
        <v>6</v>
      </c>
      <c r="D66" s="1064"/>
      <c r="E66" s="1064"/>
      <c r="F66" s="1064"/>
      <c r="G66" s="621"/>
      <c r="H66" s="621"/>
      <c r="I66" s="621"/>
      <c r="J66" s="899">
        <f t="shared" si="21"/>
        <v>0</v>
      </c>
      <c r="K66" s="899">
        <f t="shared" si="22"/>
        <v>6</v>
      </c>
      <c r="L66" s="621">
        <v>6</v>
      </c>
      <c r="M66" s="1062">
        <v>6</v>
      </c>
      <c r="N66" s="844"/>
    </row>
    <row r="67" spans="1:14" ht="11.25" customHeight="1" x14ac:dyDescent="0.25">
      <c r="A67" s="262" t="s">
        <v>1090</v>
      </c>
      <c r="B67" s="256"/>
      <c r="C67" s="1064">
        <v>6</v>
      </c>
      <c r="D67" s="1064"/>
      <c r="E67" s="1064"/>
      <c r="F67" s="621"/>
      <c r="G67" s="621"/>
      <c r="H67" s="621"/>
      <c r="I67" s="621"/>
      <c r="J67" s="899">
        <f t="shared" si="21"/>
        <v>0</v>
      </c>
      <c r="K67" s="899">
        <f t="shared" si="22"/>
        <v>6</v>
      </c>
      <c r="L67" s="621">
        <v>6</v>
      </c>
      <c r="M67" s="1062">
        <v>6</v>
      </c>
      <c r="N67" s="844"/>
    </row>
    <row r="68" spans="1:14" ht="11.25" customHeight="1" x14ac:dyDescent="0.25">
      <c r="A68" s="262" t="s">
        <v>1091</v>
      </c>
      <c r="B68" s="256"/>
      <c r="C68" s="1064"/>
      <c r="D68" s="1064"/>
      <c r="E68" s="1064"/>
      <c r="F68" s="621"/>
      <c r="G68" s="621"/>
      <c r="H68" s="621"/>
      <c r="I68" s="621"/>
      <c r="J68" s="899">
        <f t="shared" si="21"/>
        <v>0</v>
      </c>
      <c r="K68" s="899">
        <f t="shared" si="22"/>
        <v>0</v>
      </c>
      <c r="L68" s="621"/>
      <c r="M68" s="1062"/>
      <c r="N68" s="844"/>
    </row>
    <row r="69" spans="1:14" ht="11.25" customHeight="1" x14ac:dyDescent="0.25">
      <c r="A69" s="262" t="s">
        <v>1092</v>
      </c>
      <c r="B69" s="256"/>
      <c r="C69" s="1064">
        <v>50</v>
      </c>
      <c r="D69" s="1064"/>
      <c r="E69" s="1064"/>
      <c r="F69" s="1064"/>
      <c r="G69" s="621"/>
      <c r="H69" s="621"/>
      <c r="I69" s="621"/>
      <c r="J69" s="899">
        <f t="shared" si="21"/>
        <v>0</v>
      </c>
      <c r="K69" s="899">
        <f t="shared" si="22"/>
        <v>50</v>
      </c>
      <c r="L69" s="621">
        <v>50</v>
      </c>
      <c r="M69" s="1062">
        <v>50</v>
      </c>
      <c r="N69" s="844"/>
    </row>
    <row r="70" spans="1:14" ht="11.25" customHeight="1" x14ac:dyDescent="0.25">
      <c r="A70" s="281" t="s">
        <v>1093</v>
      </c>
      <c r="B70" s="274"/>
      <c r="C70" s="1065"/>
      <c r="D70" s="1065"/>
      <c r="E70" s="1065"/>
      <c r="F70" s="624"/>
      <c r="G70" s="624"/>
      <c r="H70" s="624"/>
      <c r="I70" s="624"/>
      <c r="J70" s="900">
        <f t="shared" si="21"/>
        <v>0</v>
      </c>
      <c r="K70" s="900">
        <f t="shared" si="22"/>
        <v>0</v>
      </c>
      <c r="L70" s="624"/>
      <c r="M70" s="1063"/>
      <c r="N70" s="844"/>
    </row>
    <row r="71" spans="1:14" ht="15.75" customHeight="1" x14ac:dyDescent="0.25">
      <c r="A71" s="255" t="s">
        <v>1129</v>
      </c>
      <c r="B71" s="280">
        <v>17</v>
      </c>
      <c r="C71" s="132"/>
      <c r="D71" s="132"/>
      <c r="E71" s="132"/>
      <c r="F71" s="132"/>
      <c r="G71" s="132"/>
      <c r="H71" s="132"/>
      <c r="I71" s="132"/>
      <c r="J71" s="132"/>
      <c r="K71" s="132"/>
      <c r="L71" s="132"/>
      <c r="M71" s="133"/>
      <c r="N71" s="844"/>
    </row>
    <row r="72" spans="1:14" ht="25.5" x14ac:dyDescent="0.25">
      <c r="A72" s="1291" t="s">
        <v>1741</v>
      </c>
      <c r="B72" s="258"/>
      <c r="C72" s="109"/>
      <c r="D72" s="109"/>
      <c r="E72" s="109"/>
      <c r="F72" s="109"/>
      <c r="G72" s="109"/>
      <c r="H72" s="109"/>
      <c r="I72" s="109"/>
      <c r="J72" s="132">
        <f t="shared" ref="J72:J80" si="23">SUM(E72:I72)</f>
        <v>0</v>
      </c>
      <c r="K72" s="132">
        <f t="shared" ref="K72:K80" si="24">IF(D72=0,C72+J72,D72+J72)</f>
        <v>0</v>
      </c>
      <c r="L72" s="109"/>
      <c r="M72" s="110"/>
      <c r="N72" s="844"/>
    </row>
    <row r="73" spans="1:14" ht="38.25" x14ac:dyDescent="0.25">
      <c r="A73" s="1291" t="s">
        <v>1742</v>
      </c>
      <c r="B73" s="256"/>
      <c r="C73" s="132">
        <f>'SB1'!C9</f>
        <v>33000000</v>
      </c>
      <c r="D73" s="132">
        <f>'SB1'!D9</f>
        <v>0</v>
      </c>
      <c r="E73" s="132">
        <f>'SB1'!E9</f>
        <v>0</v>
      </c>
      <c r="F73" s="132">
        <f>'SB1'!F9</f>
        <v>0</v>
      </c>
      <c r="G73" s="132">
        <f>'SB1'!G9</f>
        <v>0</v>
      </c>
      <c r="H73" s="132">
        <f>'SB1'!H9</f>
        <v>0</v>
      </c>
      <c r="I73" s="132">
        <f>'SB1'!I9</f>
        <v>0</v>
      </c>
      <c r="J73" s="132">
        <f t="shared" si="23"/>
        <v>0</v>
      </c>
      <c r="K73" s="132">
        <f t="shared" si="24"/>
        <v>33000000</v>
      </c>
      <c r="L73" s="132">
        <f>'SB1'!L9</f>
        <v>34815000</v>
      </c>
      <c r="M73" s="133">
        <f>'SB1'!M9</f>
        <v>36729825</v>
      </c>
      <c r="N73" s="844"/>
    </row>
    <row r="74" spans="1:14" ht="25.5" x14ac:dyDescent="0.25">
      <c r="A74" s="1291" t="s">
        <v>1743</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44"/>
    </row>
    <row r="75" spans="1:14" ht="25.5" x14ac:dyDescent="0.25">
      <c r="A75" s="1291" t="s">
        <v>1744</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44"/>
    </row>
    <row r="76" spans="1:14" ht="25.5" x14ac:dyDescent="0.25">
      <c r="A76" s="1291" t="s">
        <v>1745</v>
      </c>
      <c r="B76" s="256"/>
      <c r="C76" s="132">
        <f>'SB1'!C14</f>
        <v>150000</v>
      </c>
      <c r="D76" s="132">
        <f>'SB1'!D14</f>
        <v>0</v>
      </c>
      <c r="E76" s="132">
        <f>'SB1'!E14</f>
        <v>0</v>
      </c>
      <c r="F76" s="132">
        <f>'SB1'!F14</f>
        <v>0</v>
      </c>
      <c r="G76" s="132">
        <f>'SB1'!G14</f>
        <v>0</v>
      </c>
      <c r="H76" s="132">
        <f>'SB1'!H14</f>
        <v>0</v>
      </c>
      <c r="I76" s="132">
        <f>'SB1'!I14</f>
        <v>0</v>
      </c>
      <c r="J76" s="132">
        <f t="shared" si="23"/>
        <v>0</v>
      </c>
      <c r="K76" s="132">
        <f t="shared" si="24"/>
        <v>150000</v>
      </c>
      <c r="L76" s="132">
        <f>'SB1'!L14</f>
        <v>158250</v>
      </c>
      <c r="M76" s="133">
        <f>'SB1'!M14</f>
        <v>166953.75</v>
      </c>
      <c r="N76" s="844"/>
    </row>
    <row r="77" spans="1:14" ht="14.65" customHeight="1" x14ac:dyDescent="0.25">
      <c r="A77" s="1291" t="s">
        <v>1746</v>
      </c>
      <c r="B77" s="256"/>
      <c r="C77" s="132">
        <f>'SB1'!C33</f>
        <v>32000</v>
      </c>
      <c r="D77" s="132">
        <f>'SB1'!D33</f>
        <v>0</v>
      </c>
      <c r="E77" s="132">
        <f>'SB1'!E33</f>
        <v>0</v>
      </c>
      <c r="F77" s="132">
        <f>'SB1'!F33</f>
        <v>0</v>
      </c>
      <c r="G77" s="132">
        <f>'SB1'!G33</f>
        <v>0</v>
      </c>
      <c r="H77" s="132">
        <f>'SB1'!H33</f>
        <v>0</v>
      </c>
      <c r="I77" s="132">
        <f>'SB1'!I33</f>
        <v>0</v>
      </c>
      <c r="J77" s="132">
        <f t="shared" si="23"/>
        <v>0</v>
      </c>
      <c r="K77" s="132">
        <f t="shared" si="24"/>
        <v>32000</v>
      </c>
      <c r="L77" s="132">
        <f>'SB1'!L33</f>
        <v>108000</v>
      </c>
      <c r="M77" s="133">
        <f>'SB1'!M33</f>
        <v>180840</v>
      </c>
      <c r="N77" s="844"/>
    </row>
    <row r="78" spans="1:14" ht="11.65" customHeight="1" x14ac:dyDescent="0.25">
      <c r="A78" s="1291" t="s">
        <v>1130</v>
      </c>
      <c r="B78" s="256"/>
      <c r="C78" s="109"/>
      <c r="D78" s="109"/>
      <c r="E78" s="109"/>
      <c r="F78" s="109"/>
      <c r="G78" s="109"/>
      <c r="H78" s="109"/>
      <c r="I78" s="109"/>
      <c r="J78" s="132">
        <f t="shared" si="23"/>
        <v>0</v>
      </c>
      <c r="K78" s="132">
        <f t="shared" si="24"/>
        <v>0</v>
      </c>
      <c r="L78" s="109"/>
      <c r="M78" s="110"/>
      <c r="N78" s="844"/>
    </row>
    <row r="79" spans="1:14" ht="11.25" customHeight="1" x14ac:dyDescent="0.25">
      <c r="A79" s="1291" t="s">
        <v>1131</v>
      </c>
      <c r="B79" s="256">
        <v>6</v>
      </c>
      <c r="C79" s="109"/>
      <c r="D79" s="109"/>
      <c r="E79" s="109"/>
      <c r="F79" s="109"/>
      <c r="G79" s="109"/>
      <c r="H79" s="109"/>
      <c r="I79" s="109"/>
      <c r="J79" s="132">
        <f t="shared" si="23"/>
        <v>0</v>
      </c>
      <c r="K79" s="132">
        <f t="shared" si="24"/>
        <v>0</v>
      </c>
      <c r="L79" s="109"/>
      <c r="M79" s="110"/>
      <c r="N79" s="844"/>
    </row>
    <row r="80" spans="1:14" ht="11.25" customHeight="1" x14ac:dyDescent="0.25">
      <c r="A80" s="1291" t="s">
        <v>632</v>
      </c>
      <c r="B80" s="256"/>
      <c r="C80" s="109"/>
      <c r="D80" s="109"/>
      <c r="E80" s="109"/>
      <c r="F80" s="109"/>
      <c r="G80" s="109"/>
      <c r="H80" s="109"/>
      <c r="I80" s="109"/>
      <c r="J80" s="132">
        <f t="shared" si="23"/>
        <v>0</v>
      </c>
      <c r="K80" s="132">
        <f t="shared" si="24"/>
        <v>0</v>
      </c>
      <c r="L80" s="109"/>
      <c r="M80" s="110"/>
      <c r="N80" s="844"/>
    </row>
    <row r="81" spans="1:14" ht="25.5" x14ac:dyDescent="0.25">
      <c r="A81" s="1294" t="s">
        <v>1747</v>
      </c>
      <c r="B81" s="282"/>
      <c r="C81" s="283">
        <f t="shared" ref="C81:M81" si="25">SUM(C72:C80)</f>
        <v>33182000</v>
      </c>
      <c r="D81" s="283">
        <f t="shared" si="25"/>
        <v>0</v>
      </c>
      <c r="E81" s="283">
        <f t="shared" si="25"/>
        <v>0</v>
      </c>
      <c r="F81" s="283">
        <f t="shared" si="25"/>
        <v>0</v>
      </c>
      <c r="G81" s="283">
        <f t="shared" si="25"/>
        <v>0</v>
      </c>
      <c r="H81" s="283">
        <f t="shared" si="25"/>
        <v>0</v>
      </c>
      <c r="I81" s="283">
        <f t="shared" si="25"/>
        <v>0</v>
      </c>
      <c r="J81" s="283">
        <f t="shared" si="25"/>
        <v>0</v>
      </c>
      <c r="K81" s="283">
        <f t="shared" si="25"/>
        <v>33182000</v>
      </c>
      <c r="L81" s="283">
        <f t="shared" si="25"/>
        <v>35081250</v>
      </c>
      <c r="M81" s="693">
        <f t="shared" si="25"/>
        <v>37077618.75</v>
      </c>
      <c r="N81" s="844"/>
    </row>
    <row r="82" spans="1:14" ht="11.25" customHeight="1" x14ac:dyDescent="0.25">
      <c r="A82" s="284" t="str">
        <f>head27a</f>
        <v>References</v>
      </c>
      <c r="B82" s="184"/>
      <c r="N82" s="844"/>
    </row>
    <row r="83" spans="1:14" ht="11.25" customHeight="1" x14ac:dyDescent="0.25">
      <c r="A83" s="285" t="s">
        <v>1095</v>
      </c>
      <c r="B83" s="184"/>
      <c r="N83" s="844"/>
    </row>
    <row r="84" spans="1:14" ht="11.25" customHeight="1" x14ac:dyDescent="0.25">
      <c r="A84" s="286" t="s">
        <v>1096</v>
      </c>
      <c r="B84" s="287"/>
      <c r="C84" s="287"/>
      <c r="D84" s="287"/>
      <c r="E84" s="287"/>
      <c r="F84" s="287"/>
      <c r="G84" s="287"/>
      <c r="H84" s="287"/>
      <c r="I84" s="287"/>
      <c r="J84" s="287"/>
      <c r="K84" s="287"/>
      <c r="L84" s="287"/>
      <c r="M84" s="287"/>
    </row>
    <row r="85" spans="1:14" ht="11.25" customHeight="1" x14ac:dyDescent="0.25">
      <c r="A85" s="159" t="s">
        <v>1097</v>
      </c>
      <c r="B85" s="287"/>
      <c r="C85" s="287"/>
      <c r="D85" s="287"/>
      <c r="E85" s="287"/>
      <c r="F85" s="287"/>
      <c r="G85" s="287"/>
      <c r="H85" s="287"/>
      <c r="I85" s="287"/>
      <c r="J85" s="287"/>
      <c r="K85" s="287"/>
      <c r="L85" s="287"/>
      <c r="M85" s="287"/>
    </row>
    <row r="86" spans="1:14" ht="11.25" customHeight="1" x14ac:dyDescent="0.25">
      <c r="A86" s="159" t="s">
        <v>1098</v>
      </c>
      <c r="B86" s="159"/>
      <c r="C86" s="159"/>
      <c r="D86" s="159"/>
      <c r="E86" s="159"/>
      <c r="F86" s="159"/>
      <c r="G86" s="159"/>
      <c r="H86" s="159"/>
      <c r="I86" s="159"/>
      <c r="J86" s="159"/>
      <c r="K86" s="159"/>
      <c r="L86" s="159"/>
      <c r="M86" s="159"/>
    </row>
    <row r="87" spans="1:14" ht="11.25" customHeight="1" x14ac:dyDescent="0.25">
      <c r="A87" s="159" t="s">
        <v>1099</v>
      </c>
      <c r="B87" s="159"/>
      <c r="C87" s="159"/>
      <c r="D87" s="159"/>
      <c r="E87" s="159"/>
      <c r="F87" s="159"/>
      <c r="G87" s="159"/>
      <c r="H87" s="159"/>
      <c r="I87" s="159"/>
      <c r="J87" s="159"/>
      <c r="K87" s="159"/>
      <c r="L87" s="159"/>
      <c r="M87" s="159"/>
    </row>
    <row r="88" spans="1:14" ht="11.25" customHeight="1" x14ac:dyDescent="0.25">
      <c r="A88" s="159" t="s">
        <v>1100</v>
      </c>
      <c r="B88" s="159"/>
      <c r="C88" s="159"/>
      <c r="D88" s="159"/>
      <c r="E88" s="159"/>
      <c r="F88" s="159"/>
      <c r="G88" s="159"/>
      <c r="H88" s="159"/>
      <c r="I88" s="159"/>
      <c r="J88" s="159"/>
      <c r="K88" s="159"/>
      <c r="L88" s="159"/>
      <c r="M88" s="159"/>
    </row>
    <row r="89" spans="1:14" s="5" customFormat="1" ht="12.75" customHeight="1" x14ac:dyDescent="0.25">
      <c r="A89" s="1395" t="s">
        <v>992</v>
      </c>
      <c r="B89" s="1395"/>
      <c r="C89" s="1395"/>
      <c r="D89" s="1395"/>
      <c r="E89" s="1395"/>
      <c r="F89" s="1395"/>
      <c r="G89" s="1395"/>
      <c r="H89" s="1395"/>
      <c r="I89" s="1395"/>
      <c r="J89" s="1395"/>
      <c r="K89" s="1395"/>
      <c r="L89" s="1395"/>
      <c r="M89" s="1395"/>
    </row>
    <row r="90" spans="1:14" s="5" customFormat="1" ht="25.15" customHeight="1" x14ac:dyDescent="0.25">
      <c r="A90" s="1395" t="s">
        <v>1056</v>
      </c>
      <c r="B90" s="1395"/>
      <c r="C90" s="1395"/>
      <c r="D90" s="1395"/>
      <c r="E90" s="1395"/>
      <c r="F90" s="1395"/>
      <c r="G90" s="1395"/>
      <c r="H90" s="1395"/>
      <c r="I90" s="1395"/>
      <c r="J90" s="1395"/>
      <c r="K90" s="1395"/>
      <c r="L90" s="1395"/>
      <c r="M90" s="1395"/>
    </row>
    <row r="91" spans="1:14" s="5" customFormat="1" ht="12.75" customHeight="1" x14ac:dyDescent="0.25">
      <c r="A91" s="1389" t="s">
        <v>1057</v>
      </c>
      <c r="B91" s="1389"/>
      <c r="C91" s="1389"/>
      <c r="D91" s="1389"/>
      <c r="E91" s="1389"/>
      <c r="F91" s="1389"/>
      <c r="G91" s="1389"/>
      <c r="H91" s="1389"/>
      <c r="I91" s="1389"/>
      <c r="J91" s="1389"/>
      <c r="K91" s="1389"/>
      <c r="L91" s="1389"/>
      <c r="M91" s="1389"/>
    </row>
    <row r="92" spans="1:14" s="5" customFormat="1" ht="12.75" customHeight="1" x14ac:dyDescent="0.25">
      <c r="A92" s="1389" t="s">
        <v>1058</v>
      </c>
      <c r="B92" s="1389"/>
      <c r="C92" s="1389"/>
      <c r="D92" s="1389"/>
      <c r="E92" s="1389"/>
      <c r="F92" s="1389"/>
      <c r="G92" s="1389"/>
      <c r="H92" s="1389"/>
      <c r="I92" s="1389"/>
      <c r="J92" s="1389"/>
      <c r="K92" s="1389"/>
      <c r="L92" s="1389"/>
      <c r="M92" s="1389"/>
    </row>
    <row r="93" spans="1:14" s="5" customFormat="1" ht="12.75" customHeight="1" x14ac:dyDescent="0.25">
      <c r="A93" s="99" t="s">
        <v>1059</v>
      </c>
      <c r="B93" s="93"/>
      <c r="C93" s="96"/>
      <c r="D93" s="96"/>
      <c r="E93" s="96"/>
      <c r="F93" s="96"/>
      <c r="G93" s="96"/>
      <c r="H93" s="96"/>
      <c r="I93" s="96"/>
      <c r="J93" s="96"/>
      <c r="K93" s="96"/>
      <c r="L93" s="96"/>
      <c r="M93" s="96"/>
    </row>
    <row r="94" spans="1:14" s="5" customFormat="1" ht="27" customHeight="1" x14ac:dyDescent="0.25">
      <c r="A94" s="1389" t="s">
        <v>1060</v>
      </c>
      <c r="B94" s="1389"/>
      <c r="C94" s="1389"/>
      <c r="D94" s="1389"/>
      <c r="E94" s="1389"/>
      <c r="F94" s="1389"/>
      <c r="G94" s="1389"/>
      <c r="H94" s="1389"/>
      <c r="I94" s="1389"/>
      <c r="J94" s="1389"/>
      <c r="K94" s="1389"/>
      <c r="L94" s="1389"/>
      <c r="M94" s="1389"/>
    </row>
    <row r="95" spans="1:14" s="5" customFormat="1" ht="12.75" customHeight="1" x14ac:dyDescent="0.25">
      <c r="A95" s="99" t="s">
        <v>1025</v>
      </c>
      <c r="B95" s="93"/>
      <c r="C95" s="96"/>
      <c r="D95" s="96"/>
      <c r="E95" s="96"/>
      <c r="F95" s="96"/>
      <c r="G95" s="96"/>
      <c r="H95" s="96"/>
      <c r="I95" s="96"/>
      <c r="J95" s="96"/>
      <c r="K95" s="96"/>
      <c r="L95" s="96"/>
      <c r="M95" s="96"/>
    </row>
    <row r="96" spans="1:14" s="5" customFormat="1" ht="12.75" customHeight="1" x14ac:dyDescent="0.25">
      <c r="A96" s="1389" t="s">
        <v>1026</v>
      </c>
      <c r="B96" s="1389"/>
      <c r="C96" s="1389"/>
      <c r="D96" s="1389"/>
      <c r="E96" s="1389"/>
      <c r="F96" s="1389"/>
      <c r="G96" s="1389"/>
      <c r="H96" s="1389"/>
      <c r="I96" s="1389"/>
      <c r="J96" s="1389"/>
      <c r="K96" s="1389"/>
      <c r="L96" s="1389"/>
      <c r="M96" s="1389"/>
    </row>
    <row r="97" spans="1:8" ht="11.25" customHeight="1" x14ac:dyDescent="0.25">
      <c r="A97" s="836" t="s">
        <v>1101</v>
      </c>
      <c r="B97" s="225"/>
      <c r="C97" s="225"/>
      <c r="D97" s="225"/>
      <c r="E97" s="225"/>
      <c r="F97" s="225"/>
      <c r="G97" s="225"/>
      <c r="H97" s="225"/>
    </row>
    <row r="98" spans="1:8" ht="11.25" customHeight="1" x14ac:dyDescent="0.25">
      <c r="A98" s="836" t="s">
        <v>1148</v>
      </c>
      <c r="B98" s="225"/>
      <c r="C98" s="225"/>
      <c r="D98" s="225"/>
      <c r="E98" s="225"/>
      <c r="F98" s="225"/>
      <c r="G98" s="225"/>
      <c r="H98" s="225"/>
    </row>
    <row r="99" spans="1:8" ht="11.25" customHeight="1" x14ac:dyDescent="0.25">
      <c r="A99" s="836" t="s">
        <v>1149</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C6" sqref="C6"/>
    </sheetView>
  </sheetViews>
  <sheetFormatPr defaultColWidth="8.7109375" defaultRowHeight="12.75" x14ac:dyDescent="0.2"/>
  <cols>
    <col min="1" max="22" width="8.7109375" customWidth="1"/>
    <col min="23" max="23" width="19.7109375" style="680" customWidth="1"/>
    <col min="24" max="25" width="9.140625" style="680" customWidth="1"/>
  </cols>
  <sheetData>
    <row r="2" spans="4:24" x14ac:dyDescent="0.2">
      <c r="D2">
        <v>2020</v>
      </c>
    </row>
    <row r="4" spans="4:24" x14ac:dyDescent="0.2">
      <c r="X4" s="707" t="s">
        <v>259</v>
      </c>
    </row>
    <row r="5" spans="4:24" x14ac:dyDescent="0.2">
      <c r="X5" s="707" t="s">
        <v>547</v>
      </c>
    </row>
    <row r="7" spans="4:24" x14ac:dyDescent="0.2">
      <c r="W7" s="707" t="s">
        <v>76</v>
      </c>
      <c r="X7" s="707" t="s">
        <v>75</v>
      </c>
    </row>
    <row r="8" spans="4:24" x14ac:dyDescent="0.2">
      <c r="X8" s="707" t="s">
        <v>77</v>
      </c>
    </row>
    <row r="10" spans="4:24" x14ac:dyDescent="0.2">
      <c r="W10" s="707" t="s">
        <v>25</v>
      </c>
      <c r="X10" s="683" t="s">
        <v>2409</v>
      </c>
    </row>
    <row r="19" spans="14:24" ht="15.75" x14ac:dyDescent="0.25">
      <c r="W19" s="707" t="s">
        <v>78</v>
      </c>
      <c r="X19" s="825">
        <v>2008</v>
      </c>
    </row>
    <row r="20" spans="14:24" ht="15.75" x14ac:dyDescent="0.25">
      <c r="X20" s="825">
        <v>2009</v>
      </c>
    </row>
    <row r="21" spans="14:24" ht="15.75" x14ac:dyDescent="0.25">
      <c r="N21" s="680"/>
      <c r="X21" s="825">
        <v>2010</v>
      </c>
    </row>
    <row r="22" spans="14:24" ht="15.75" x14ac:dyDescent="0.25">
      <c r="X22" s="825">
        <v>2011</v>
      </c>
    </row>
    <row r="23" spans="14:24" ht="15.75" x14ac:dyDescent="0.25">
      <c r="X23" s="825">
        <v>2012</v>
      </c>
    </row>
    <row r="24" spans="14:24" ht="15.75" x14ac:dyDescent="0.25">
      <c r="X24" s="825">
        <v>2013</v>
      </c>
    </row>
    <row r="25" spans="14:24" ht="15.75" x14ac:dyDescent="0.25">
      <c r="X25" s="825">
        <v>2014</v>
      </c>
    </row>
    <row r="26" spans="14:24" ht="15.75" x14ac:dyDescent="0.25">
      <c r="X26" s="825">
        <v>2015</v>
      </c>
    </row>
    <row r="27" spans="14:24" ht="15.75" x14ac:dyDescent="0.25">
      <c r="X27" s="825">
        <v>2016</v>
      </c>
    </row>
    <row r="28" spans="14:24" ht="15.75" x14ac:dyDescent="0.25">
      <c r="X28" s="825">
        <v>2017</v>
      </c>
    </row>
    <row r="29" spans="14:24" ht="15.75" x14ac:dyDescent="0.25">
      <c r="X29" s="825">
        <v>2018</v>
      </c>
    </row>
    <row r="30" spans="14:24" ht="15.75" x14ac:dyDescent="0.25">
      <c r="X30" s="825">
        <v>2019</v>
      </c>
    </row>
    <row r="31" spans="14:24" ht="15.75" x14ac:dyDescent="0.25">
      <c r="X31" s="825">
        <v>2020</v>
      </c>
    </row>
    <row r="32" spans="14:24" ht="15.75" x14ac:dyDescent="0.25">
      <c r="X32" s="825">
        <v>2021</v>
      </c>
    </row>
    <row r="33" spans="23:24" ht="15.75" x14ac:dyDescent="0.25">
      <c r="W33" s="707" t="s">
        <v>79</v>
      </c>
      <c r="X33" s="825">
        <v>2022</v>
      </c>
    </row>
    <row r="34" spans="23:24" x14ac:dyDescent="0.2">
      <c r="W34" s="707" t="s">
        <v>80</v>
      </c>
      <c r="X34" s="823"/>
    </row>
    <row r="35" spans="23:24" x14ac:dyDescent="0.2">
      <c r="X35" s="823">
        <v>11</v>
      </c>
    </row>
    <row r="36" spans="23:24" x14ac:dyDescent="0.2">
      <c r="W36" s="707" t="s">
        <v>81</v>
      </c>
      <c r="X36" s="824">
        <f>INDEX(X19:X33,X35,1)</f>
        <v>2018</v>
      </c>
    </row>
    <row r="38" spans="23:24" x14ac:dyDescent="0.2">
      <c r="X38" s="708" t="str">
        <f>MTREF&amp;"/"&amp;RIGHT(MTREF,2)+1</f>
        <v>2018/19</v>
      </c>
    </row>
  </sheetData>
  <sheetProtection sheet="1" objects="1" scenarios="1"/>
  <phoneticPr fontId="4" type="noConversion"/>
  <pageMargins left="0.75" right="0.75" top="1" bottom="1" header="0.5" footer="0.5"/>
  <pageSetup orientation="portrait" horizontalDpi="200" verticalDpi="200"/>
  <headerFooter alignWithMargins="0"/>
  <drawing r:id="rId1"/>
  <legacyDrawing r:id="rId2"/>
  <controls>
    <mc:AlternateContent xmlns:mc="http://schemas.openxmlformats.org/markup-compatibility/2006">
      <mc:Choice Requires="x14">
        <control shapeId="13334" r:id="rId3" name="TextBox3">
          <controlPr defaultSize="0" autoLine="0" linkedCell="Contacts!#REF!" r:id="rId4">
            <anchor moveWithCells="1">
              <from>
                <xdr:col>5</xdr:col>
                <xdr:colOff>180975</xdr:colOff>
                <xdr:row>7</xdr:row>
                <xdr:rowOff>47625</xdr:rowOff>
              </from>
              <to>
                <xdr:col>11</xdr:col>
                <xdr:colOff>438150</xdr:colOff>
                <xdr:row>8</xdr:row>
                <xdr:rowOff>142875</xdr:rowOff>
              </to>
            </anchor>
          </controlPr>
        </control>
      </mc:Choice>
      <mc:Fallback>
        <control shapeId="13334" r:id="rId3" name="TextBox3"/>
      </mc:Fallback>
    </mc:AlternateContent>
    <mc:AlternateContent xmlns:mc="http://schemas.openxmlformats.org/markup-compatibility/2006">
      <mc:Choice Requires="x14">
        <control shapeId="13335" r:id="rId5" name="TextBox4">
          <controlPr defaultSize="0" autoLine="0" linkedCell="Contacts!#REF!" r:id="rId6">
            <anchor moveWithCells="1">
              <from>
                <xdr:col>5</xdr:col>
                <xdr:colOff>180975</xdr:colOff>
                <xdr:row>9</xdr:row>
                <xdr:rowOff>123825</xdr:rowOff>
              </from>
              <to>
                <xdr:col>8</xdr:col>
                <xdr:colOff>0</xdr:colOff>
                <xdr:row>11</xdr:row>
                <xdr:rowOff>57150</xdr:rowOff>
              </to>
            </anchor>
          </controlPr>
        </control>
      </mc:Choice>
      <mc:Fallback>
        <control shapeId="13335" r:id="rId5" name="TextBox4"/>
      </mc:Fallback>
    </mc:AlternateContent>
    <mc:AlternateContent xmlns:mc="http://schemas.openxmlformats.org/markup-compatibility/2006">
      <mc:Choice Requires="x14">
        <control shapeId="13336" r:id="rId7" name="TextBox5">
          <controlPr defaultSize="0" autoLine="0" linkedCell="Contacts!#REF!" r:id="rId8">
            <anchor moveWithCells="1">
              <from>
                <xdr:col>5</xdr:col>
                <xdr:colOff>180975</xdr:colOff>
                <xdr:row>12</xdr:row>
                <xdr:rowOff>19050</xdr:rowOff>
              </from>
              <to>
                <xdr:col>11</xdr:col>
                <xdr:colOff>438150</xdr:colOff>
                <xdr:row>13</xdr:row>
                <xdr:rowOff>114300</xdr:rowOff>
              </to>
            </anchor>
          </controlPr>
        </control>
      </mc:Choice>
      <mc:Fallback>
        <control shapeId="13336" r:id="rId7" name="TextBox5"/>
      </mc:Fallback>
    </mc:AlternateContent>
    <mc:AlternateContent xmlns:mc="http://schemas.openxmlformats.org/markup-compatibility/2006">
      <mc:Choice Requires="x14">
        <control shapeId="13337" r:id="rId9" name="TextBox6">
          <controlPr defaultSize="0" autoLine="0" linkedCell="Contacts!#REF!" r:id="rId10">
            <anchor moveWithCells="1">
              <from>
                <xdr:col>9</xdr:col>
                <xdr:colOff>47625</xdr:colOff>
                <xdr:row>9</xdr:row>
                <xdr:rowOff>142875</xdr:rowOff>
              </from>
              <to>
                <xdr:col>11</xdr:col>
                <xdr:colOff>323850</xdr:colOff>
                <xdr:row>11</xdr:row>
                <xdr:rowOff>76200</xdr:rowOff>
              </to>
            </anchor>
          </controlPr>
        </control>
      </mc:Choice>
      <mc:Fallback>
        <control shapeId="13337" r:id="rId9" name="TextBox6"/>
      </mc:Fallback>
    </mc:AlternateContent>
    <mc:AlternateContent xmlns:mc="http://schemas.openxmlformats.org/markup-compatibility/2006">
      <mc:Choice Requires="x14">
        <control shapeId="13338" r:id="rId11" name="ToggleReferenceColumns">
          <controlPr defaultSize="0" autoLine="0" r:id="rId12">
            <anchor moveWithCells="1">
              <from>
                <xdr:col>1</xdr:col>
                <xdr:colOff>76200</xdr:colOff>
                <xdr:row>34</xdr:row>
                <xdr:rowOff>104775</xdr:rowOff>
              </from>
              <to>
                <xdr:col>5</xdr:col>
                <xdr:colOff>171450</xdr:colOff>
                <xdr:row>36</xdr:row>
                <xdr:rowOff>95250</xdr:rowOff>
              </to>
            </anchor>
          </controlPr>
        </control>
      </mc:Choice>
      <mc:Fallback>
        <control shapeId="13338" r:id="rId11" name="ToggleReferenceColumns"/>
      </mc:Fallback>
    </mc:AlternateContent>
    <mc:AlternateContent xmlns:mc="http://schemas.openxmlformats.org/markup-compatibility/2006">
      <mc:Choice Requires="x14">
        <control shapeId="13339" r:id="rId13" name="TogglePreAuditColums">
          <controlPr defaultSize="0" autoLine="0" r:id="rId14">
            <anchor moveWithCells="1">
              <from>
                <xdr:col>1</xdr:col>
                <xdr:colOff>76200</xdr:colOff>
                <xdr:row>37</xdr:row>
                <xdr:rowOff>19050</xdr:rowOff>
              </from>
              <to>
                <xdr:col>5</xdr:col>
                <xdr:colOff>171450</xdr:colOff>
                <xdr:row>39</xdr:row>
                <xdr:rowOff>19050</xdr:rowOff>
              </to>
            </anchor>
          </controlPr>
        </control>
      </mc:Choice>
      <mc:Fallback>
        <control shapeId="13339" r:id="rId13" name="TogglePreAuditColums"/>
      </mc:Fallback>
    </mc:AlternateContent>
    <mc:AlternateContent xmlns:mc="http://schemas.openxmlformats.org/markup-compatibility/2006">
      <mc:Choice Requires="x14">
        <control shapeId="13340" r:id="rId15" name="ToggleHiddenColumns">
          <controlPr defaultSize="0" autoLine="0" r:id="rId16">
            <anchor moveWithCells="1">
              <from>
                <xdr:col>1</xdr:col>
                <xdr:colOff>76200</xdr:colOff>
                <xdr:row>42</xdr:row>
                <xdr:rowOff>104775</xdr:rowOff>
              </from>
              <to>
                <xdr:col>5</xdr:col>
                <xdr:colOff>171450</xdr:colOff>
                <xdr:row>44</xdr:row>
                <xdr:rowOff>95250</xdr:rowOff>
              </to>
            </anchor>
          </controlPr>
        </control>
      </mc:Choice>
      <mc:Fallback>
        <control shapeId="13340" r:id="rId15" name="ToggleHiddenColumns"/>
      </mc:Fallback>
    </mc:AlternateContent>
    <mc:AlternateContent xmlns:mc="http://schemas.openxmlformats.org/markup-compatibility/2006">
      <mc:Choice Requires="x14">
        <control shapeId="13342" r:id="rId17" name="DateOfAdjustment">
          <controlPr defaultSize="0" autoLine="0" linkedCell="Date" r:id="rId18">
            <anchor moveWithCells="1">
              <from>
                <xdr:col>5</xdr:col>
                <xdr:colOff>180975</xdr:colOff>
                <xdr:row>14</xdr:row>
                <xdr:rowOff>142875</xdr:rowOff>
              </from>
              <to>
                <xdr:col>7</xdr:col>
                <xdr:colOff>428625</xdr:colOff>
                <xdr:row>16</xdr:row>
                <xdr:rowOff>76200</xdr:rowOff>
              </to>
            </anchor>
          </controlPr>
        </control>
      </mc:Choice>
      <mc:Fallback>
        <control shapeId="13342" r:id="rId17" name="DateOfAdjustment"/>
      </mc:Fallback>
    </mc:AlternateContent>
    <mc:AlternateContent xmlns:mc="http://schemas.openxmlformats.org/markup-compatibility/2006">
      <mc:Choice Requires="x14">
        <control shapeId="13330" r:id="rId19"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52" activePane="bottomRight" state="frozen"/>
      <selection activeCell="C6" sqref="C6"/>
      <selection pane="topRight" activeCell="C6" sqref="C6"/>
      <selection pane="bottomLeft" activeCell="C6" sqref="C6"/>
      <selection pane="bottomRight" activeCell="M62" sqref="M62"/>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LIM333 Greater Tzaneen - Supporting Table SB1 Supporting detail to 'Budgeted Financial Performance' - 27/02/2019</v>
      </c>
      <c r="B1" s="5"/>
      <c r="C1" s="58"/>
    </row>
    <row r="2" spans="1:14" ht="31.5" customHeight="1" x14ac:dyDescent="0.25">
      <c r="A2" s="1398" t="str">
        <f>desc</f>
        <v>Description</v>
      </c>
      <c r="B2" s="1426" t="str">
        <f>head27</f>
        <v>Ref</v>
      </c>
      <c r="C2" s="1391" t="str">
        <f>Head2</f>
        <v>Budget Year 2018/19</v>
      </c>
      <c r="D2" s="1391"/>
      <c r="E2" s="1391"/>
      <c r="F2" s="1391"/>
      <c r="G2" s="1391"/>
      <c r="H2" s="1391"/>
      <c r="I2" s="1391"/>
      <c r="J2" s="1391"/>
      <c r="K2" s="1391"/>
      <c r="L2" s="103" t="str">
        <f>Head10</f>
        <v>Budget Year +1 2019/20</v>
      </c>
      <c r="M2" s="61" t="str">
        <f>Head11</f>
        <v>Budget Year +2 2020/21</v>
      </c>
    </row>
    <row r="3" spans="1:14" ht="25.5" x14ac:dyDescent="0.25">
      <c r="A3" s="1399"/>
      <c r="B3" s="142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9"/>
      <c r="B4" s="1427"/>
      <c r="C4" s="65"/>
      <c r="D4" s="15">
        <v>6</v>
      </c>
      <c r="E4" s="15">
        <v>7</v>
      </c>
      <c r="F4" s="15">
        <v>8</v>
      </c>
      <c r="G4" s="15">
        <v>9</v>
      </c>
      <c r="H4" s="15">
        <v>10</v>
      </c>
      <c r="I4" s="15">
        <v>11</v>
      </c>
      <c r="J4" s="15">
        <v>12</v>
      </c>
      <c r="K4" s="15">
        <v>13</v>
      </c>
      <c r="L4" s="15"/>
      <c r="M4" s="17"/>
    </row>
    <row r="5" spans="1:14" x14ac:dyDescent="0.25">
      <c r="A5" s="66" t="s">
        <v>605</v>
      </c>
      <c r="B5" s="69"/>
      <c r="C5" s="67" t="s">
        <v>548</v>
      </c>
      <c r="D5" s="68" t="s">
        <v>549</v>
      </c>
      <c r="E5" s="68" t="s">
        <v>550</v>
      </c>
      <c r="F5" s="69" t="s">
        <v>551</v>
      </c>
      <c r="G5" s="69" t="s">
        <v>552</v>
      </c>
      <c r="H5" s="69" t="s">
        <v>553</v>
      </c>
      <c r="I5" s="70" t="s">
        <v>554</v>
      </c>
      <c r="J5" s="70" t="s">
        <v>555</v>
      </c>
      <c r="K5" s="70" t="s">
        <v>556</v>
      </c>
      <c r="L5" s="70"/>
      <c r="M5" s="71"/>
    </row>
    <row r="6" spans="1:14" ht="12.75" customHeight="1" x14ac:dyDescent="0.25">
      <c r="A6" s="126" t="s">
        <v>1150</v>
      </c>
      <c r="B6" s="288"/>
      <c r="C6" s="74"/>
      <c r="D6" s="75"/>
      <c r="E6" s="75"/>
      <c r="F6" s="75"/>
      <c r="G6" s="75"/>
      <c r="H6" s="75"/>
      <c r="I6" s="75"/>
      <c r="J6" s="75"/>
      <c r="K6" s="75"/>
      <c r="L6" s="75"/>
      <c r="M6" s="76"/>
    </row>
    <row r="7" spans="1:14" ht="12.75" customHeight="1" x14ac:dyDescent="0.25">
      <c r="A7" s="52" t="s">
        <v>558</v>
      </c>
      <c r="B7" s="288"/>
      <c r="C7" s="74"/>
      <c r="D7" s="75"/>
      <c r="E7" s="75"/>
      <c r="F7" s="75"/>
      <c r="G7" s="75"/>
      <c r="H7" s="75"/>
      <c r="I7" s="75"/>
      <c r="J7" s="75"/>
      <c r="K7" s="75"/>
      <c r="L7" s="75"/>
      <c r="M7" s="76"/>
      <c r="N7" s="128"/>
    </row>
    <row r="8" spans="1:14" ht="12.75" customHeight="1" x14ac:dyDescent="0.25">
      <c r="A8" s="55" t="s">
        <v>1151</v>
      </c>
      <c r="B8" s="288"/>
      <c r="C8" s="130">
        <v>126800000</v>
      </c>
      <c r="D8" s="109"/>
      <c r="E8" s="109"/>
      <c r="F8" s="109"/>
      <c r="G8" s="109"/>
      <c r="H8" s="109"/>
      <c r="I8" s="109"/>
      <c r="J8" s="132">
        <f>SUM(E8:I8)</f>
        <v>0</v>
      </c>
      <c r="K8" s="132">
        <f>IF(D8=0,C8+J8,D8+J8)</f>
        <v>126800000</v>
      </c>
      <c r="L8" s="109">
        <v>133774000</v>
      </c>
      <c r="M8" s="110">
        <v>141131570</v>
      </c>
      <c r="N8" s="128"/>
    </row>
    <row r="9" spans="1:14" ht="31.9" customHeight="1" x14ac:dyDescent="0.25">
      <c r="A9" s="1279" t="s">
        <v>1726</v>
      </c>
      <c r="B9" s="288"/>
      <c r="C9" s="130">
        <v>33000000</v>
      </c>
      <c r="D9" s="109"/>
      <c r="E9" s="109"/>
      <c r="F9" s="109"/>
      <c r="G9" s="109"/>
      <c r="H9" s="109"/>
      <c r="I9" s="109"/>
      <c r="J9" s="132">
        <f>SUM(E9:I9)</f>
        <v>0</v>
      </c>
      <c r="K9" s="132">
        <f>IF(D9=0,C9+J9,D9+J9)</f>
        <v>33000000</v>
      </c>
      <c r="L9" s="109">
        <v>34815000</v>
      </c>
      <c r="M9" s="110">
        <v>36729825</v>
      </c>
      <c r="N9" s="128"/>
    </row>
    <row r="10" spans="1:14" ht="12.75" customHeight="1" x14ac:dyDescent="0.25">
      <c r="A10" s="165" t="s">
        <v>1152</v>
      </c>
      <c r="B10" s="288"/>
      <c r="C10" s="1299">
        <f>C8-C9</f>
        <v>93800000</v>
      </c>
      <c r="D10" s="718">
        <f t="shared" ref="D10:M10" si="0">D8-D9</f>
        <v>0</v>
      </c>
      <c r="E10" s="718">
        <f t="shared" si="0"/>
        <v>0</v>
      </c>
      <c r="F10" s="718">
        <f t="shared" si="0"/>
        <v>0</v>
      </c>
      <c r="G10" s="718">
        <f t="shared" si="0"/>
        <v>0</v>
      </c>
      <c r="H10" s="718">
        <f t="shared" si="0"/>
        <v>0</v>
      </c>
      <c r="I10" s="718">
        <f t="shared" si="0"/>
        <v>0</v>
      </c>
      <c r="J10" s="718">
        <f t="shared" si="0"/>
        <v>0</v>
      </c>
      <c r="K10" s="718">
        <f t="shared" si="0"/>
        <v>93800000</v>
      </c>
      <c r="L10" s="718">
        <f t="shared" si="0"/>
        <v>98959000</v>
      </c>
      <c r="M10" s="720">
        <f t="shared" si="0"/>
        <v>104401745</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641</v>
      </c>
      <c r="B12" s="288"/>
      <c r="C12" s="74"/>
      <c r="D12" s="75"/>
      <c r="E12" s="75"/>
      <c r="F12" s="75"/>
      <c r="G12" s="75"/>
      <c r="H12" s="75"/>
      <c r="I12" s="75"/>
      <c r="J12" s="171"/>
      <c r="K12" s="171"/>
      <c r="L12" s="75"/>
      <c r="M12" s="76"/>
      <c r="N12" s="128"/>
    </row>
    <row r="13" spans="1:14" ht="12.75" customHeight="1" x14ac:dyDescent="0.25">
      <c r="A13" s="55" t="s">
        <v>1153</v>
      </c>
      <c r="B13" s="288"/>
      <c r="C13" s="130">
        <v>505501000</v>
      </c>
      <c r="D13" s="109"/>
      <c r="E13" s="109"/>
      <c r="F13" s="109"/>
      <c r="G13" s="109"/>
      <c r="H13" s="109"/>
      <c r="I13" s="109"/>
      <c r="J13" s="132">
        <f>SUM(E13:I13)</f>
        <v>0</v>
      </c>
      <c r="K13" s="132">
        <f>IF(D13=0,C13+J13,D13+J13)</f>
        <v>505501000</v>
      </c>
      <c r="L13" s="109">
        <v>533583555</v>
      </c>
      <c r="M13" s="110">
        <v>563183150.52499998</v>
      </c>
      <c r="N13" s="128"/>
    </row>
    <row r="14" spans="1:14" ht="21" customHeight="1" x14ac:dyDescent="0.25">
      <c r="A14" s="1279" t="s">
        <v>1727</v>
      </c>
      <c r="B14" s="288"/>
      <c r="C14" s="130">
        <v>150000</v>
      </c>
      <c r="D14" s="109"/>
      <c r="E14" s="109"/>
      <c r="F14" s="109"/>
      <c r="G14" s="109"/>
      <c r="H14" s="109"/>
      <c r="I14" s="109"/>
      <c r="J14" s="132">
        <f>SUM(E14:I14)</f>
        <v>0</v>
      </c>
      <c r="K14" s="132">
        <f>IF(D14=0,C14+J14,D14+J14)</f>
        <v>150000</v>
      </c>
      <c r="L14" s="109">
        <v>158250</v>
      </c>
      <c r="M14" s="110">
        <v>166953.75</v>
      </c>
      <c r="N14" s="128"/>
    </row>
    <row r="15" spans="1:14" s="128" customFormat="1" ht="22.9" customHeight="1" x14ac:dyDescent="0.25">
      <c r="A15" s="1284" t="s">
        <v>1728</v>
      </c>
      <c r="B15" s="845"/>
      <c r="C15" s="131">
        <f>'SB5'!E250</f>
        <v>4000000</v>
      </c>
      <c r="D15" s="131">
        <f>'SB5'!F250</f>
        <v>0</v>
      </c>
      <c r="E15" s="131">
        <f>'SB5'!G250</f>
        <v>0</v>
      </c>
      <c r="F15" s="131">
        <f>'SB5'!H250</f>
        <v>0</v>
      </c>
      <c r="G15" s="131">
        <f>'SB5'!I250</f>
        <v>0</v>
      </c>
      <c r="H15" s="131">
        <f>'SB5'!J250</f>
        <v>0</v>
      </c>
      <c r="I15" s="131">
        <f>'SB5'!K250</f>
        <v>0</v>
      </c>
      <c r="J15" s="132">
        <f>SUM(E15:I15)</f>
        <v>0</v>
      </c>
      <c r="K15" s="132">
        <f>IF(D15=0,C15+J15,D15+J15)</f>
        <v>4000000</v>
      </c>
      <c r="L15" s="131">
        <f>'SB5'!N250</f>
        <v>4500000</v>
      </c>
      <c r="M15" s="133">
        <f>'SB5'!O250</f>
        <v>5000000</v>
      </c>
    </row>
    <row r="16" spans="1:14" ht="12.75" customHeight="1" x14ac:dyDescent="0.25">
      <c r="A16" s="165" t="s">
        <v>1154</v>
      </c>
      <c r="B16" s="288"/>
      <c r="C16" s="1299">
        <f>C13-C14-C15</f>
        <v>501351000</v>
      </c>
      <c r="D16" s="718">
        <f t="shared" ref="D16:M16" si="1">D13-D14-D15</f>
        <v>0</v>
      </c>
      <c r="E16" s="718">
        <f t="shared" si="1"/>
        <v>0</v>
      </c>
      <c r="F16" s="718">
        <f t="shared" si="1"/>
        <v>0</v>
      </c>
      <c r="G16" s="718">
        <f t="shared" si="1"/>
        <v>0</v>
      </c>
      <c r="H16" s="718">
        <f t="shared" si="1"/>
        <v>0</v>
      </c>
      <c r="I16" s="718">
        <f t="shared" si="1"/>
        <v>0</v>
      </c>
      <c r="J16" s="718">
        <f t="shared" si="1"/>
        <v>0</v>
      </c>
      <c r="K16" s="718">
        <f t="shared" si="1"/>
        <v>501351000</v>
      </c>
      <c r="L16" s="718">
        <f t="shared" si="1"/>
        <v>528925305</v>
      </c>
      <c r="M16" s="720">
        <f t="shared" si="1"/>
        <v>558016196.77499998</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642</v>
      </c>
      <c r="B18" s="288"/>
      <c r="C18" s="74"/>
      <c r="D18" s="75"/>
      <c r="E18" s="75"/>
      <c r="F18" s="75"/>
      <c r="G18" s="75"/>
      <c r="H18" s="75"/>
      <c r="I18" s="75"/>
      <c r="J18" s="171"/>
      <c r="K18" s="171"/>
      <c r="L18" s="75"/>
      <c r="M18" s="76"/>
      <c r="N18" s="128"/>
    </row>
    <row r="19" spans="1:14" ht="12.75" customHeight="1" x14ac:dyDescent="0.25">
      <c r="A19" s="1287" t="s">
        <v>1155</v>
      </c>
      <c r="B19" s="288"/>
      <c r="C19" s="130">
        <v>530000</v>
      </c>
      <c r="D19" s="109"/>
      <c r="E19" s="109"/>
      <c r="F19" s="109"/>
      <c r="G19" s="109"/>
      <c r="H19" s="109"/>
      <c r="I19" s="109"/>
      <c r="J19" s="132">
        <f>SUM(E19:I19)</f>
        <v>0</v>
      </c>
      <c r="K19" s="132">
        <f>IF(D19=0,C19+J19,D19+J19)</f>
        <v>530000</v>
      </c>
      <c r="L19" s="109">
        <v>535000</v>
      </c>
      <c r="M19" s="110">
        <v>540000</v>
      </c>
      <c r="N19" s="128"/>
    </row>
    <row r="20" spans="1:14" ht="38.25" x14ac:dyDescent="0.25">
      <c r="A20" s="1287" t="s">
        <v>1729</v>
      </c>
      <c r="B20" s="288"/>
      <c r="C20" s="130"/>
      <c r="D20" s="109"/>
      <c r="E20" s="109"/>
      <c r="F20" s="109"/>
      <c r="G20" s="109"/>
      <c r="H20" s="109"/>
      <c r="I20" s="109"/>
      <c r="J20" s="132">
        <f>SUM(E20:I20)</f>
        <v>0</v>
      </c>
      <c r="K20" s="132">
        <f>IF(D20=0,C20+J20,D20+J20)</f>
        <v>0</v>
      </c>
      <c r="L20" s="109"/>
      <c r="M20" s="110"/>
      <c r="N20" s="128"/>
    </row>
    <row r="21" spans="1:14" s="128" customFormat="1" ht="25.5" x14ac:dyDescent="0.25">
      <c r="A21" s="1288" t="s">
        <v>1730</v>
      </c>
      <c r="B21" s="845"/>
      <c r="C21" s="131">
        <f>'SB5'!E262</f>
        <v>530000</v>
      </c>
      <c r="D21" s="131">
        <f>'SB5'!F262</f>
        <v>0</v>
      </c>
      <c r="E21" s="131">
        <f>'SB5'!G262</f>
        <v>0</v>
      </c>
      <c r="F21" s="131">
        <f>'SB5'!H262</f>
        <v>0</v>
      </c>
      <c r="G21" s="131">
        <f>'SB5'!I262</f>
        <v>0</v>
      </c>
      <c r="H21" s="131">
        <f>'SB5'!J262</f>
        <v>0</v>
      </c>
      <c r="I21" s="131">
        <f>'SB5'!K262</f>
        <v>0</v>
      </c>
      <c r="J21" s="132">
        <f>SUM(E21:I21)</f>
        <v>0</v>
      </c>
      <c r="K21" s="132">
        <f>IF(D21=0,C21+J21,D21+J21)</f>
        <v>530000</v>
      </c>
      <c r="L21" s="132">
        <f>'SB5'!N262</f>
        <v>535000</v>
      </c>
      <c r="M21" s="133">
        <f>'SB5'!O262</f>
        <v>540000</v>
      </c>
    </row>
    <row r="22" spans="1:14" ht="12.75" customHeight="1" x14ac:dyDescent="0.25">
      <c r="A22" s="1289" t="s">
        <v>1156</v>
      </c>
      <c r="B22" s="288"/>
      <c r="C22" s="1299">
        <f>C19-C20-C21</f>
        <v>0</v>
      </c>
      <c r="D22" s="1299">
        <f t="shared" ref="D22:M22" si="2">D19-D20-D21</f>
        <v>0</v>
      </c>
      <c r="E22" s="1299">
        <f t="shared" si="2"/>
        <v>0</v>
      </c>
      <c r="F22" s="1299">
        <f t="shared" si="2"/>
        <v>0</v>
      </c>
      <c r="G22" s="1299">
        <f t="shared" si="2"/>
        <v>0</v>
      </c>
      <c r="H22" s="1299">
        <f t="shared" si="2"/>
        <v>0</v>
      </c>
      <c r="I22" s="1299">
        <f t="shared" si="2"/>
        <v>0</v>
      </c>
      <c r="J22" s="1299">
        <f>J19-J20-J21</f>
        <v>0</v>
      </c>
      <c r="K22" s="1299">
        <f t="shared" si="2"/>
        <v>0</v>
      </c>
      <c r="L22" s="1299">
        <f t="shared" si="2"/>
        <v>0</v>
      </c>
      <c r="M22" s="720">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643</v>
      </c>
      <c r="B24" s="288"/>
      <c r="C24" s="74"/>
      <c r="D24" s="75"/>
      <c r="E24" s="75"/>
      <c r="F24" s="75"/>
      <c r="G24" s="75"/>
      <c r="H24" s="75"/>
      <c r="I24" s="75"/>
      <c r="J24" s="171"/>
      <c r="K24" s="171"/>
      <c r="L24" s="75"/>
      <c r="M24" s="76"/>
      <c r="N24" s="128"/>
    </row>
    <row r="25" spans="1:14" x14ac:dyDescent="0.25">
      <c r="A25" s="55" t="s">
        <v>1157</v>
      </c>
      <c r="B25" s="288"/>
      <c r="C25" s="130">
        <v>185000</v>
      </c>
      <c r="D25" s="109"/>
      <c r="E25" s="109"/>
      <c r="F25" s="109"/>
      <c r="G25" s="109"/>
      <c r="H25" s="109"/>
      <c r="I25" s="109"/>
      <c r="J25" s="132">
        <f>SUM(E25:I25)</f>
        <v>0</v>
      </c>
      <c r="K25" s="132">
        <f>IF(D25=0,C25+J25,D25+J25)</f>
        <v>185000</v>
      </c>
      <c r="L25" s="109">
        <v>210000</v>
      </c>
      <c r="M25" s="110">
        <v>260000</v>
      </c>
      <c r="N25" s="128"/>
    </row>
    <row r="26" spans="1:14" ht="25.5" x14ac:dyDescent="0.25">
      <c r="A26" s="1288" t="s">
        <v>1731</v>
      </c>
      <c r="B26" s="288"/>
      <c r="C26" s="130"/>
      <c r="D26" s="109"/>
      <c r="E26" s="109"/>
      <c r="F26" s="109"/>
      <c r="G26" s="109"/>
      <c r="H26" s="109"/>
      <c r="I26" s="109"/>
      <c r="J26" s="132">
        <f>SUM(E26:I26)</f>
        <v>0</v>
      </c>
      <c r="K26" s="132">
        <f>IF(D26=0,C26+J26,D26+J26)</f>
        <v>0</v>
      </c>
      <c r="L26" s="109"/>
      <c r="M26" s="110"/>
      <c r="N26" s="128"/>
    </row>
    <row r="27" spans="1:14" s="128" customFormat="1" ht="25.5" x14ac:dyDescent="0.25">
      <c r="A27" s="1290" t="s">
        <v>1732</v>
      </c>
      <c r="B27" s="845"/>
      <c r="C27" s="131">
        <f>'SB5'!E274</f>
        <v>185000</v>
      </c>
      <c r="D27" s="131">
        <f>'SB5'!F274</f>
        <v>0</v>
      </c>
      <c r="E27" s="131">
        <f>'SB5'!G274</f>
        <v>0</v>
      </c>
      <c r="F27" s="131">
        <f>'SB5'!H274</f>
        <v>0</v>
      </c>
      <c r="G27" s="131">
        <f>'SB5'!I274</f>
        <v>0</v>
      </c>
      <c r="H27" s="131">
        <f>'SB5'!J274</f>
        <v>0</v>
      </c>
      <c r="I27" s="131">
        <f>'SB5'!K274</f>
        <v>0</v>
      </c>
      <c r="J27" s="132">
        <f>SUM(E27:I27)</f>
        <v>0</v>
      </c>
      <c r="K27" s="132">
        <f>IF(D27=0,C27+J27,D27+J27)</f>
        <v>185000</v>
      </c>
      <c r="L27" s="132">
        <f>'SB5'!N274</f>
        <v>210000</v>
      </c>
      <c r="M27" s="133">
        <f>'SB5'!O274</f>
        <v>260000</v>
      </c>
    </row>
    <row r="28" spans="1:14" ht="12.75" customHeight="1" x14ac:dyDescent="0.25">
      <c r="A28" s="165" t="s">
        <v>1158</v>
      </c>
      <c r="B28" s="288"/>
      <c r="C28" s="1299">
        <f>C25-C26-C27</f>
        <v>0</v>
      </c>
      <c r="D28" s="718">
        <f t="shared" ref="D28:M28" si="3">D25-D26-D27</f>
        <v>0</v>
      </c>
      <c r="E28" s="718">
        <f t="shared" si="3"/>
        <v>0</v>
      </c>
      <c r="F28" s="718">
        <f t="shared" si="3"/>
        <v>0</v>
      </c>
      <c r="G28" s="718">
        <f t="shared" si="3"/>
        <v>0</v>
      </c>
      <c r="H28" s="718">
        <f t="shared" si="3"/>
        <v>0</v>
      </c>
      <c r="I28" s="718">
        <f t="shared" si="3"/>
        <v>0</v>
      </c>
      <c r="J28" s="718">
        <f t="shared" si="3"/>
        <v>0</v>
      </c>
      <c r="K28" s="718">
        <f t="shared" si="3"/>
        <v>0</v>
      </c>
      <c r="L28" s="718">
        <f t="shared" si="3"/>
        <v>0</v>
      </c>
      <c r="M28" s="720">
        <f t="shared" si="3"/>
        <v>0</v>
      </c>
      <c r="N28" s="128"/>
    </row>
    <row r="29" spans="1:14" ht="4.5" customHeight="1" x14ac:dyDescent="0.25">
      <c r="A29" s="165"/>
      <c r="B29" s="288"/>
      <c r="C29" s="74" t="s">
        <v>1289</v>
      </c>
      <c r="D29" s="75"/>
      <c r="E29" s="75"/>
      <c r="F29" s="75"/>
      <c r="G29" s="75"/>
      <c r="H29" s="75"/>
      <c r="I29" s="75"/>
      <c r="J29" s="171"/>
      <c r="K29" s="171"/>
      <c r="L29" s="75"/>
      <c r="M29" s="76"/>
      <c r="N29" s="128"/>
    </row>
    <row r="30" spans="1:14" ht="12.75" customHeight="1" x14ac:dyDescent="0.25">
      <c r="A30" s="52" t="s">
        <v>1159</v>
      </c>
      <c r="B30" s="288"/>
      <c r="C30" s="74"/>
      <c r="D30" s="75"/>
      <c r="E30" s="75"/>
      <c r="F30" s="75"/>
      <c r="G30" s="75"/>
      <c r="H30" s="75"/>
      <c r="I30" s="75"/>
      <c r="J30" s="171"/>
      <c r="K30" s="171"/>
      <c r="L30" s="75"/>
      <c r="M30" s="76"/>
      <c r="N30" s="128"/>
    </row>
    <row r="31" spans="1:14" ht="12.75" customHeight="1" x14ac:dyDescent="0.25">
      <c r="A31" s="1287" t="s">
        <v>737</v>
      </c>
      <c r="B31" s="288"/>
      <c r="C31" s="130">
        <v>28032000</v>
      </c>
      <c r="D31" s="109"/>
      <c r="E31" s="109"/>
      <c r="F31" s="109"/>
      <c r="G31" s="109"/>
      <c r="H31" s="109"/>
      <c r="I31" s="109"/>
      <c r="J31" s="132">
        <f>SUM(E31:I31)</f>
        <v>0</v>
      </c>
      <c r="K31" s="132">
        <f>IF(D31=0,C31+J31,D31+J31)</f>
        <v>28032000</v>
      </c>
      <c r="L31" s="109">
        <v>29573760</v>
      </c>
      <c r="M31" s="110">
        <v>31200316.800000001</v>
      </c>
      <c r="N31" s="128"/>
    </row>
    <row r="32" spans="1:14" ht="12" customHeight="1" x14ac:dyDescent="0.25">
      <c r="A32" s="1287" t="s">
        <v>738</v>
      </c>
      <c r="B32" s="288"/>
      <c r="C32" s="130">
        <v>4000000</v>
      </c>
      <c r="D32" s="109"/>
      <c r="E32" s="109"/>
      <c r="F32" s="109"/>
      <c r="G32" s="109"/>
      <c r="H32" s="109"/>
      <c r="I32" s="109"/>
      <c r="J32" s="132">
        <f>SUM(E32:I32)</f>
        <v>0</v>
      </c>
      <c r="K32" s="132">
        <f>IF(D32=0,C32+J32,D32+J32)</f>
        <v>4000000</v>
      </c>
      <c r="L32" s="109">
        <v>4220000</v>
      </c>
      <c r="M32" s="110">
        <v>4452100</v>
      </c>
      <c r="N32" s="128"/>
    </row>
    <row r="33" spans="1:14" ht="25.5" x14ac:dyDescent="0.25">
      <c r="A33" s="1288" t="s">
        <v>1733</v>
      </c>
      <c r="B33" s="288"/>
      <c r="C33" s="130">
        <v>32000</v>
      </c>
      <c r="D33" s="109"/>
      <c r="E33" s="109"/>
      <c r="F33" s="109"/>
      <c r="G33" s="109"/>
      <c r="H33" s="109"/>
      <c r="I33" s="109"/>
      <c r="J33" s="132">
        <f>SUM(E33:I33)</f>
        <v>0</v>
      </c>
      <c r="K33" s="132">
        <f>IF(D33=0,C33+J33,D33+J33)</f>
        <v>32000</v>
      </c>
      <c r="L33" s="109">
        <v>108000</v>
      </c>
      <c r="M33" s="110">
        <v>180840</v>
      </c>
      <c r="N33" s="128"/>
    </row>
    <row r="34" spans="1:14" ht="25.5" x14ac:dyDescent="0.25">
      <c r="A34" s="1290" t="s">
        <v>1734</v>
      </c>
      <c r="B34" s="288"/>
      <c r="C34" s="131">
        <f>'SB5'!E286</f>
        <v>1568000</v>
      </c>
      <c r="D34" s="131">
        <f>'SB5'!F286</f>
        <v>0</v>
      </c>
      <c r="E34" s="131">
        <f>'SB5'!G286</f>
        <v>0</v>
      </c>
      <c r="F34" s="131">
        <f>'SB5'!H286</f>
        <v>0</v>
      </c>
      <c r="G34" s="131">
        <f>'SB5'!I286</f>
        <v>0</v>
      </c>
      <c r="H34" s="131">
        <f>'SB5'!J286</f>
        <v>0</v>
      </c>
      <c r="I34" s="131">
        <f>'SB5'!K286</f>
        <v>0</v>
      </c>
      <c r="J34" s="132">
        <f>SUM(E34:I34)</f>
        <v>0</v>
      </c>
      <c r="K34" s="132">
        <f>IF(D34=0,C34+J34,D34+J34)</f>
        <v>1568000</v>
      </c>
      <c r="L34" s="132">
        <f>'SB5'!N286</f>
        <v>1580000</v>
      </c>
      <c r="M34" s="133">
        <f>'SB5'!O286</f>
        <v>1600000</v>
      </c>
      <c r="N34" s="128"/>
    </row>
    <row r="35" spans="1:14" ht="12.75" customHeight="1" x14ac:dyDescent="0.25">
      <c r="A35" s="1289" t="s">
        <v>1160</v>
      </c>
      <c r="B35" s="288"/>
      <c r="C35" s="1299">
        <f>SUM(C31:C32)-SUM(C33:C34)</f>
        <v>30432000</v>
      </c>
      <c r="D35" s="718">
        <f t="shared" ref="D35:M35" si="4">SUM(D31:D32)-SUM(D33:D34)</f>
        <v>0</v>
      </c>
      <c r="E35" s="718">
        <f t="shared" si="4"/>
        <v>0</v>
      </c>
      <c r="F35" s="718">
        <f t="shared" si="4"/>
        <v>0</v>
      </c>
      <c r="G35" s="718">
        <f t="shared" si="4"/>
        <v>0</v>
      </c>
      <c r="H35" s="718">
        <f t="shared" si="4"/>
        <v>0</v>
      </c>
      <c r="I35" s="718">
        <f t="shared" si="4"/>
        <v>0</v>
      </c>
      <c r="J35" s="718">
        <f t="shared" si="4"/>
        <v>0</v>
      </c>
      <c r="K35" s="718">
        <f t="shared" si="4"/>
        <v>30432000</v>
      </c>
      <c r="L35" s="718">
        <f t="shared" si="4"/>
        <v>32105760</v>
      </c>
      <c r="M35" s="720">
        <f t="shared" si="4"/>
        <v>33871576.799999997</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1161</v>
      </c>
      <c r="B37" s="288"/>
      <c r="C37" s="74"/>
      <c r="D37" s="75"/>
      <c r="E37" s="75"/>
      <c r="F37" s="75"/>
      <c r="G37" s="75"/>
      <c r="H37" s="75"/>
      <c r="I37" s="75"/>
      <c r="J37" s="75"/>
      <c r="K37" s="75"/>
      <c r="L37" s="75"/>
      <c r="M37" s="76"/>
      <c r="N37" s="128"/>
    </row>
    <row r="38" spans="1:14" ht="12.75" customHeight="1" x14ac:dyDescent="0.25">
      <c r="A38" s="1081" t="s">
        <v>1920</v>
      </c>
      <c r="B38" s="288"/>
      <c r="C38" s="1083">
        <v>15000</v>
      </c>
      <c r="D38" s="1084"/>
      <c r="E38" s="1083"/>
      <c r="F38" s="1083"/>
      <c r="G38" s="1083"/>
      <c r="H38" s="1083"/>
      <c r="I38" s="1083"/>
      <c r="J38" s="75">
        <f t="shared" ref="J38:J49" si="5">SUM(E38:I38)</f>
        <v>0</v>
      </c>
      <c r="K38" s="515">
        <f t="shared" ref="K38:K49" si="6">IF(D38=0,C38+J38,D38+J38)</f>
        <v>15000</v>
      </c>
      <c r="L38" s="1084">
        <v>15825</v>
      </c>
      <c r="M38" s="1085">
        <v>16695.375</v>
      </c>
      <c r="N38" s="128"/>
    </row>
    <row r="39" spans="1:14" ht="12.75" customHeight="1" x14ac:dyDescent="0.25">
      <c r="A39" s="1081" t="s">
        <v>1921</v>
      </c>
      <c r="B39" s="288"/>
      <c r="C39" s="1083">
        <v>100</v>
      </c>
      <c r="D39" s="1084"/>
      <c r="E39" s="1083"/>
      <c r="F39" s="1083"/>
      <c r="G39" s="1083"/>
      <c r="H39" s="1083"/>
      <c r="I39" s="1083"/>
      <c r="J39" s="75">
        <f t="shared" si="5"/>
        <v>0</v>
      </c>
      <c r="K39" s="515">
        <f t="shared" si="6"/>
        <v>100</v>
      </c>
      <c r="L39" s="1084">
        <v>105.5</v>
      </c>
      <c r="M39" s="1085">
        <v>111.30249999999999</v>
      </c>
      <c r="N39" s="128"/>
    </row>
    <row r="40" spans="1:14" ht="12.75" customHeight="1" x14ac:dyDescent="0.25">
      <c r="A40" s="1081" t="s">
        <v>1922</v>
      </c>
      <c r="B40" s="288"/>
      <c r="C40" s="1083">
        <v>10000</v>
      </c>
      <c r="D40" s="1084"/>
      <c r="E40" s="1083"/>
      <c r="F40" s="1083"/>
      <c r="G40" s="1083"/>
      <c r="H40" s="1083"/>
      <c r="I40" s="1083"/>
      <c r="J40" s="75">
        <f t="shared" si="5"/>
        <v>0</v>
      </c>
      <c r="K40" s="515">
        <f t="shared" si="6"/>
        <v>10000</v>
      </c>
      <c r="L40" s="1084">
        <v>10550</v>
      </c>
      <c r="M40" s="1085">
        <v>11130.25</v>
      </c>
      <c r="N40" s="128"/>
    </row>
    <row r="41" spans="1:14" ht="12.75" customHeight="1" x14ac:dyDescent="0.25">
      <c r="A41" s="1082" t="s">
        <v>1923</v>
      </c>
      <c r="B41" s="288"/>
      <c r="C41" s="1083">
        <v>5000000</v>
      </c>
      <c r="D41" s="1084"/>
      <c r="E41" s="1083"/>
      <c r="F41" s="1083"/>
      <c r="G41" s="1083"/>
      <c r="H41" s="1083"/>
      <c r="I41" s="1083"/>
      <c r="J41" s="75">
        <f t="shared" si="5"/>
        <v>0</v>
      </c>
      <c r="K41" s="515">
        <f t="shared" si="6"/>
        <v>5000000</v>
      </c>
      <c r="L41" s="1084">
        <v>5275000</v>
      </c>
      <c r="M41" s="1085">
        <v>5565125</v>
      </c>
      <c r="N41" s="128"/>
    </row>
    <row r="42" spans="1:14" ht="12.75" customHeight="1" x14ac:dyDescent="0.25">
      <c r="A42" s="1082" t="s">
        <v>1924</v>
      </c>
      <c r="B42" s="288"/>
      <c r="C42" s="1083">
        <v>50000</v>
      </c>
      <c r="D42" s="1084"/>
      <c r="E42" s="1083"/>
      <c r="F42" s="1083"/>
      <c r="G42" s="1083"/>
      <c r="H42" s="1083"/>
      <c r="I42" s="1083"/>
      <c r="J42" s="75">
        <f t="shared" si="5"/>
        <v>0</v>
      </c>
      <c r="K42" s="515">
        <f t="shared" si="6"/>
        <v>50000</v>
      </c>
      <c r="L42" s="1084">
        <v>52750</v>
      </c>
      <c r="M42" s="1085">
        <v>55651.25</v>
      </c>
      <c r="N42" s="128"/>
    </row>
    <row r="43" spans="1:14" ht="12.75" customHeight="1" x14ac:dyDescent="0.25">
      <c r="A43" s="1082" t="s">
        <v>1925</v>
      </c>
      <c r="B43" s="288"/>
      <c r="C43" s="1083">
        <v>30000</v>
      </c>
      <c r="D43" s="1084"/>
      <c r="E43" s="1083"/>
      <c r="F43" s="1083"/>
      <c r="G43" s="1083"/>
      <c r="H43" s="1083"/>
      <c r="I43" s="1083"/>
      <c r="J43" s="75">
        <f t="shared" si="5"/>
        <v>0</v>
      </c>
      <c r="K43" s="515">
        <f t="shared" si="6"/>
        <v>30000</v>
      </c>
      <c r="L43" s="1084">
        <v>31650</v>
      </c>
      <c r="M43" s="1085">
        <v>33390.75</v>
      </c>
      <c r="N43" s="128"/>
    </row>
    <row r="44" spans="1:14" ht="12.75" customHeight="1" x14ac:dyDescent="0.25">
      <c r="A44" s="1082" t="s">
        <v>1926</v>
      </c>
      <c r="B44" s="288"/>
      <c r="C44" s="1083">
        <v>500000</v>
      </c>
      <c r="D44" s="1084"/>
      <c r="E44" s="1083"/>
      <c r="F44" s="1083"/>
      <c r="G44" s="1083"/>
      <c r="H44" s="1083"/>
      <c r="I44" s="1083">
        <v>-500000</v>
      </c>
      <c r="J44" s="75">
        <f t="shared" si="5"/>
        <v>-500000</v>
      </c>
      <c r="K44" s="515">
        <f t="shared" si="6"/>
        <v>0</v>
      </c>
      <c r="L44" s="1084">
        <v>527500</v>
      </c>
      <c r="M44" s="1085">
        <v>556512.5</v>
      </c>
      <c r="N44" s="128"/>
    </row>
    <row r="45" spans="1:14" ht="12.75" customHeight="1" x14ac:dyDescent="0.25">
      <c r="A45" s="1082" t="s">
        <v>1927</v>
      </c>
      <c r="B45" s="288"/>
      <c r="C45" s="1083">
        <v>100</v>
      </c>
      <c r="D45" s="1084"/>
      <c r="E45" s="1083"/>
      <c r="F45" s="1083"/>
      <c r="G45" s="1083"/>
      <c r="H45" s="1083"/>
      <c r="I45" s="1083"/>
      <c r="J45" s="75">
        <f t="shared" si="5"/>
        <v>0</v>
      </c>
      <c r="K45" s="515">
        <f t="shared" si="6"/>
        <v>100</v>
      </c>
      <c r="L45" s="1084">
        <v>105.5</v>
      </c>
      <c r="M45" s="1085">
        <v>111.30249999999999</v>
      </c>
      <c r="N45" s="128"/>
    </row>
    <row r="46" spans="1:14" ht="12.75" customHeight="1" x14ac:dyDescent="0.25">
      <c r="A46" s="1082" t="s">
        <v>1928</v>
      </c>
      <c r="B46" s="288"/>
      <c r="C46" s="1083">
        <v>1000000</v>
      </c>
      <c r="D46" s="1084"/>
      <c r="E46" s="1083"/>
      <c r="F46" s="1083"/>
      <c r="G46" s="1083"/>
      <c r="H46" s="1083"/>
      <c r="I46" s="1083"/>
      <c r="J46" s="75">
        <f t="shared" si="5"/>
        <v>0</v>
      </c>
      <c r="K46" s="515">
        <f t="shared" si="6"/>
        <v>1000000</v>
      </c>
      <c r="L46" s="1084">
        <v>1055000</v>
      </c>
      <c r="M46" s="1085">
        <v>1113025</v>
      </c>
      <c r="N46" s="128"/>
    </row>
    <row r="47" spans="1:14" ht="12.75" customHeight="1" x14ac:dyDescent="0.25">
      <c r="A47" s="1082" t="s">
        <v>1929</v>
      </c>
      <c r="B47" s="288"/>
      <c r="C47" s="1083">
        <v>100</v>
      </c>
      <c r="D47" s="1084"/>
      <c r="E47" s="1083"/>
      <c r="F47" s="1083"/>
      <c r="G47" s="1083"/>
      <c r="H47" s="1083"/>
      <c r="I47" s="1083"/>
      <c r="J47" s="75">
        <f t="shared" si="5"/>
        <v>0</v>
      </c>
      <c r="K47" s="515">
        <f t="shared" si="6"/>
        <v>100</v>
      </c>
      <c r="L47" s="1084">
        <v>105.5</v>
      </c>
      <c r="M47" s="1085">
        <v>111.30249999999999</v>
      </c>
      <c r="N47" s="128"/>
    </row>
    <row r="48" spans="1:14" ht="12.75" customHeight="1" x14ac:dyDescent="0.25">
      <c r="A48" s="1082" t="s">
        <v>1930</v>
      </c>
      <c r="B48" s="288"/>
      <c r="C48" s="1083">
        <v>5629746</v>
      </c>
      <c r="D48" s="1084"/>
      <c r="E48" s="1083"/>
      <c r="F48" s="1083"/>
      <c r="G48" s="1083"/>
      <c r="H48" s="1083"/>
      <c r="I48" s="1083"/>
      <c r="J48" s="75">
        <f t="shared" si="5"/>
        <v>0</v>
      </c>
      <c r="K48" s="515">
        <f t="shared" si="6"/>
        <v>5629746</v>
      </c>
      <c r="L48" s="1084">
        <v>5939382.0300000003</v>
      </c>
      <c r="M48" s="1085">
        <v>6266048.04165</v>
      </c>
      <c r="N48" s="128"/>
    </row>
    <row r="49" spans="1:14" ht="12.75" customHeight="1" x14ac:dyDescent="0.25">
      <c r="A49" s="1082" t="s">
        <v>650</v>
      </c>
      <c r="B49" s="288"/>
      <c r="C49" s="1083">
        <f>3150000+2500000</f>
        <v>5650000</v>
      </c>
      <c r="D49" s="1084"/>
      <c r="E49" s="1084"/>
      <c r="F49" s="1084"/>
      <c r="G49" s="1084"/>
      <c r="H49" s="1084"/>
      <c r="I49" s="1084"/>
      <c r="J49" s="75">
        <f t="shared" si="5"/>
        <v>0</v>
      </c>
      <c r="K49" s="515">
        <f t="shared" si="6"/>
        <v>5650000</v>
      </c>
      <c r="L49" s="1084">
        <f>3323250+2637500</f>
        <v>5960750</v>
      </c>
      <c r="M49" s="1085">
        <f>3506028.75+2782563</f>
        <v>6288591.75</v>
      </c>
      <c r="N49" s="128"/>
    </row>
    <row r="50" spans="1:14" ht="12.75" customHeight="1" x14ac:dyDescent="0.25">
      <c r="A50" s="290" t="s">
        <v>1162</v>
      </c>
      <c r="B50" s="68">
        <v>1</v>
      </c>
      <c r="C50" s="237">
        <f>SUM(C38:C49)</f>
        <v>17885046</v>
      </c>
      <c r="D50" s="237">
        <f t="shared" ref="D50:M50" si="7">SUM(D38:D49)</f>
        <v>0</v>
      </c>
      <c r="E50" s="237">
        <f t="shared" si="7"/>
        <v>0</v>
      </c>
      <c r="F50" s="237">
        <f t="shared" si="7"/>
        <v>0</v>
      </c>
      <c r="G50" s="237">
        <f t="shared" si="7"/>
        <v>0</v>
      </c>
      <c r="H50" s="237">
        <f t="shared" si="7"/>
        <v>0</v>
      </c>
      <c r="I50" s="237">
        <f t="shared" si="7"/>
        <v>-500000</v>
      </c>
      <c r="J50" s="237">
        <f t="shared" si="7"/>
        <v>-500000</v>
      </c>
      <c r="K50" s="237">
        <f t="shared" si="7"/>
        <v>17385046</v>
      </c>
      <c r="L50" s="237">
        <f t="shared" si="7"/>
        <v>18868723.530000001</v>
      </c>
      <c r="M50" s="238">
        <f t="shared" si="7"/>
        <v>19906503.82415</v>
      </c>
      <c r="N50" s="128"/>
    </row>
    <row r="51" spans="1:14" ht="4.9000000000000004" customHeight="1" x14ac:dyDescent="0.25">
      <c r="A51" s="136"/>
      <c r="B51" s="288"/>
      <c r="C51" s="74"/>
      <c r="D51" s="75"/>
      <c r="E51" s="75"/>
      <c r="F51" s="75"/>
      <c r="G51" s="75"/>
      <c r="H51" s="75"/>
      <c r="I51" s="75"/>
      <c r="J51" s="75"/>
      <c r="K51" s="75"/>
      <c r="L51" s="75"/>
      <c r="M51" s="76"/>
      <c r="N51" s="128"/>
    </row>
    <row r="52" spans="1:14" ht="12.75" customHeight="1" x14ac:dyDescent="0.25">
      <c r="A52" s="126" t="s">
        <v>1163</v>
      </c>
      <c r="B52" s="288"/>
      <c r="C52" s="74"/>
      <c r="D52" s="75"/>
      <c r="E52" s="75"/>
      <c r="F52" s="75"/>
      <c r="G52" s="75"/>
      <c r="H52" s="75"/>
      <c r="I52" s="75"/>
      <c r="J52" s="75"/>
      <c r="K52" s="75"/>
      <c r="L52" s="75"/>
      <c r="M52" s="76"/>
      <c r="N52" s="128"/>
    </row>
    <row r="53" spans="1:14" ht="12.75" customHeight="1" x14ac:dyDescent="0.25">
      <c r="A53" s="126" t="s">
        <v>653</v>
      </c>
      <c r="B53" s="288"/>
      <c r="C53" s="74"/>
      <c r="D53" s="75"/>
      <c r="E53" s="75"/>
      <c r="F53" s="75"/>
      <c r="G53" s="75"/>
      <c r="H53" s="75"/>
      <c r="I53" s="75"/>
      <c r="J53" s="75"/>
      <c r="K53" s="75"/>
      <c r="L53" s="75"/>
      <c r="M53" s="76"/>
      <c r="N53" s="128"/>
    </row>
    <row r="54" spans="1:14" ht="12.75" customHeight="1" x14ac:dyDescent="0.25">
      <c r="A54" s="129" t="s">
        <v>205</v>
      </c>
      <c r="B54" s="288"/>
      <c r="C54" s="130">
        <v>203820087</v>
      </c>
      <c r="D54" s="109"/>
      <c r="E54" s="109"/>
      <c r="F54" s="109"/>
      <c r="G54" s="109"/>
      <c r="H54" s="109"/>
      <c r="I54" s="109"/>
      <c r="J54" s="75">
        <f t="shared" ref="J54:J65" si="8">SUM(E54:I54)</f>
        <v>0</v>
      </c>
      <c r="K54" s="75">
        <f t="shared" ref="K54:K65" si="9">IF(D54=0,C54+J54,D54+J54)</f>
        <v>203820087</v>
      </c>
      <c r="L54" s="109">
        <v>215030191.785</v>
      </c>
      <c r="M54" s="110">
        <v>226856852.333175</v>
      </c>
      <c r="N54" s="128"/>
    </row>
    <row r="55" spans="1:14" ht="12.75" customHeight="1" x14ac:dyDescent="0.25">
      <c r="A55" s="129" t="s">
        <v>1394</v>
      </c>
      <c r="B55" s="288"/>
      <c r="C55" s="130">
        <v>36932344</v>
      </c>
      <c r="D55" s="109"/>
      <c r="E55" s="109"/>
      <c r="F55" s="109"/>
      <c r="G55" s="109"/>
      <c r="H55" s="109"/>
      <c r="I55" s="109"/>
      <c r="J55" s="75">
        <f t="shared" si="8"/>
        <v>0</v>
      </c>
      <c r="K55" s="75">
        <f t="shared" si="9"/>
        <v>36932344</v>
      </c>
      <c r="L55" s="109">
        <v>38963622.920000009</v>
      </c>
      <c r="M55" s="110">
        <v>41106622.180599995</v>
      </c>
      <c r="N55" s="128"/>
    </row>
    <row r="56" spans="1:14" ht="12.75" customHeight="1" x14ac:dyDescent="0.25">
      <c r="A56" s="129" t="s">
        <v>198</v>
      </c>
      <c r="B56" s="288"/>
      <c r="C56" s="130">
        <v>17931281</v>
      </c>
      <c r="D56" s="109"/>
      <c r="E56" s="109"/>
      <c r="F56" s="109"/>
      <c r="G56" s="109"/>
      <c r="H56" s="109"/>
      <c r="I56" s="109"/>
      <c r="J56" s="75">
        <f t="shared" si="8"/>
        <v>0</v>
      </c>
      <c r="K56" s="75">
        <f t="shared" si="9"/>
        <v>17931281</v>
      </c>
      <c r="L56" s="109">
        <v>18917501.455000006</v>
      </c>
      <c r="M56" s="110">
        <v>19957964.035025001</v>
      </c>
      <c r="N56" s="128"/>
    </row>
    <row r="57" spans="1:14" ht="12.75" customHeight="1" x14ac:dyDescent="0.25">
      <c r="A57" s="129" t="s">
        <v>1164</v>
      </c>
      <c r="B57" s="288"/>
      <c r="C57" s="130">
        <v>27549189</v>
      </c>
      <c r="D57" s="109"/>
      <c r="E57" s="109"/>
      <c r="F57" s="109"/>
      <c r="G57" s="109"/>
      <c r="H57" s="109"/>
      <c r="I57" s="109"/>
      <c r="J57" s="75">
        <f t="shared" si="8"/>
        <v>0</v>
      </c>
      <c r="K57" s="75">
        <f t="shared" si="9"/>
        <v>27549189</v>
      </c>
      <c r="L57" s="109">
        <v>29064394.394999996</v>
      </c>
      <c r="M57" s="110">
        <v>30662936.086725</v>
      </c>
      <c r="N57" s="128"/>
    </row>
    <row r="58" spans="1:14" ht="12.75" customHeight="1" x14ac:dyDescent="0.25">
      <c r="A58" s="129" t="s">
        <v>202</v>
      </c>
      <c r="B58" s="288"/>
      <c r="C58" s="130">
        <v>1126128</v>
      </c>
      <c r="D58" s="109"/>
      <c r="E58" s="109"/>
      <c r="F58" s="109"/>
      <c r="G58" s="109"/>
      <c r="H58" s="109"/>
      <c r="I58" s="109"/>
      <c r="J58" s="75">
        <f t="shared" si="8"/>
        <v>0</v>
      </c>
      <c r="K58" s="75">
        <f t="shared" si="9"/>
        <v>1126128</v>
      </c>
      <c r="L58" s="109">
        <v>1188065.04</v>
      </c>
      <c r="M58" s="110">
        <v>1253408.6172</v>
      </c>
      <c r="N58" s="128"/>
    </row>
    <row r="59" spans="1:14" ht="12.75" customHeight="1" x14ac:dyDescent="0.25">
      <c r="A59" s="129" t="s">
        <v>1395</v>
      </c>
      <c r="B59" s="288"/>
      <c r="C59" s="130">
        <v>17824229</v>
      </c>
      <c r="D59" s="109"/>
      <c r="E59" s="109"/>
      <c r="F59" s="109"/>
      <c r="G59" s="109"/>
      <c r="H59" s="109"/>
      <c r="I59" s="109"/>
      <c r="J59" s="75">
        <f>SUM(E59:I59)</f>
        <v>0</v>
      </c>
      <c r="K59" s="75">
        <f>IF(D59=0,C59+J59,D59+J59)</f>
        <v>17824229</v>
      </c>
      <c r="L59" s="109">
        <v>18804561.59500001</v>
      </c>
      <c r="M59" s="110">
        <v>19838812.482724998</v>
      </c>
      <c r="N59" s="128"/>
    </row>
    <row r="60" spans="1:14" ht="12.75" customHeight="1" x14ac:dyDescent="0.25">
      <c r="A60" s="129" t="s">
        <v>1396</v>
      </c>
      <c r="B60" s="288"/>
      <c r="C60" s="130"/>
      <c r="D60" s="109"/>
      <c r="E60" s="109"/>
      <c r="F60" s="109"/>
      <c r="G60" s="109"/>
      <c r="H60" s="109"/>
      <c r="I60" s="109"/>
      <c r="J60" s="75">
        <f>SUM(E60:I60)</f>
        <v>0</v>
      </c>
      <c r="K60" s="75">
        <f>IF(D60=0,C60+J60,D60+J60)</f>
        <v>0</v>
      </c>
      <c r="L60" s="109"/>
      <c r="M60" s="110"/>
      <c r="N60" s="128"/>
    </row>
    <row r="61" spans="1:14" ht="12.75" customHeight="1" x14ac:dyDescent="0.25">
      <c r="A61" s="129" t="s">
        <v>1397</v>
      </c>
      <c r="B61" s="288"/>
      <c r="C61" s="130">
        <v>3345603</v>
      </c>
      <c r="D61" s="109"/>
      <c r="E61" s="109"/>
      <c r="F61" s="109"/>
      <c r="G61" s="109"/>
      <c r="H61" s="109"/>
      <c r="I61" s="109"/>
      <c r="J61" s="75">
        <f>SUM(E61:I61)</f>
        <v>0</v>
      </c>
      <c r="K61" s="75">
        <f>IF(D61=0,C61+J61,D61+J61)</f>
        <v>3345603</v>
      </c>
      <c r="L61" s="109">
        <v>3529611.1649999996</v>
      </c>
      <c r="M61" s="110">
        <v>3723739.7790750004</v>
      </c>
      <c r="N61" s="128"/>
    </row>
    <row r="62" spans="1:14" ht="12.75" customHeight="1" x14ac:dyDescent="0.25">
      <c r="A62" s="129" t="s">
        <v>1199</v>
      </c>
      <c r="B62" s="288"/>
      <c r="C62" s="130">
        <v>24321045</v>
      </c>
      <c r="D62" s="109"/>
      <c r="E62" s="109"/>
      <c r="F62" s="109"/>
      <c r="G62" s="109"/>
      <c r="H62" s="109"/>
      <c r="I62" s="109">
        <f>-3397358-2661636</f>
        <v>-6058994</v>
      </c>
      <c r="J62" s="75">
        <f t="shared" si="8"/>
        <v>-6058994</v>
      </c>
      <c r="K62" s="75">
        <f t="shared" si="9"/>
        <v>18262051</v>
      </c>
      <c r="L62" s="109">
        <f>25658702.475-3584213-2808026</f>
        <v>19266463.475000001</v>
      </c>
      <c r="M62" s="110">
        <f>27069931.111125-3781344-2962467</f>
        <v>20326120.111125</v>
      </c>
      <c r="N62" s="128"/>
    </row>
    <row r="63" spans="1:14" ht="12.75" customHeight="1" x14ac:dyDescent="0.25">
      <c r="A63" s="129" t="s">
        <v>1166</v>
      </c>
      <c r="B63" s="288"/>
      <c r="C63" s="130">
        <v>10167179</v>
      </c>
      <c r="D63" s="109"/>
      <c r="E63" s="109"/>
      <c r="F63" s="109"/>
      <c r="G63" s="109"/>
      <c r="H63" s="109"/>
      <c r="I63" s="109"/>
      <c r="J63" s="75">
        <f t="shared" si="8"/>
        <v>0</v>
      </c>
      <c r="K63" s="75">
        <f t="shared" si="9"/>
        <v>10167179</v>
      </c>
      <c r="L63" s="109">
        <v>10726373.844999999</v>
      </c>
      <c r="M63" s="110">
        <v>11316324.406474998</v>
      </c>
      <c r="N63" s="128"/>
    </row>
    <row r="64" spans="1:14" ht="12.75" customHeight="1" x14ac:dyDescent="0.25">
      <c r="A64" s="129" t="s">
        <v>1165</v>
      </c>
      <c r="B64" s="288"/>
      <c r="C64" s="130"/>
      <c r="D64" s="109"/>
      <c r="E64" s="109"/>
      <c r="F64" s="109"/>
      <c r="G64" s="109"/>
      <c r="H64" s="109"/>
      <c r="I64" s="109"/>
      <c r="J64" s="75">
        <f t="shared" si="8"/>
        <v>0</v>
      </c>
      <c r="K64" s="75">
        <f t="shared" si="9"/>
        <v>0</v>
      </c>
      <c r="L64" s="109"/>
      <c r="M64" s="110"/>
      <c r="N64" s="128"/>
    </row>
    <row r="65" spans="1:14" ht="12.75" customHeight="1" x14ac:dyDescent="0.25">
      <c r="A65" s="129" t="s">
        <v>1167</v>
      </c>
      <c r="B65" s="288">
        <v>4</v>
      </c>
      <c r="C65" s="143"/>
      <c r="D65" s="144"/>
      <c r="E65" s="144"/>
      <c r="F65" s="144"/>
      <c r="G65" s="144"/>
      <c r="H65" s="144"/>
      <c r="I65" s="144"/>
      <c r="J65" s="145">
        <f t="shared" si="8"/>
        <v>0</v>
      </c>
      <c r="K65" s="145">
        <f t="shared" si="9"/>
        <v>0</v>
      </c>
      <c r="L65" s="144"/>
      <c r="M65" s="113"/>
      <c r="N65" s="128"/>
    </row>
    <row r="66" spans="1:14" ht="12.75" customHeight="1" x14ac:dyDescent="0.25">
      <c r="A66" s="291" t="s">
        <v>1168</v>
      </c>
      <c r="B66" s="288"/>
      <c r="C66" s="81">
        <f>SUM(C54:C65)</f>
        <v>343017085</v>
      </c>
      <c r="D66" s="81">
        <f t="shared" ref="D66:M66" si="10">SUM(D54:D65)</f>
        <v>0</v>
      </c>
      <c r="E66" s="81">
        <f t="shared" si="10"/>
        <v>0</v>
      </c>
      <c r="F66" s="81">
        <f t="shared" si="10"/>
        <v>0</v>
      </c>
      <c r="G66" s="81">
        <f t="shared" si="10"/>
        <v>0</v>
      </c>
      <c r="H66" s="81">
        <f t="shared" si="10"/>
        <v>0</v>
      </c>
      <c r="I66" s="81">
        <f t="shared" si="10"/>
        <v>-6058994</v>
      </c>
      <c r="J66" s="81">
        <f t="shared" si="10"/>
        <v>-6058994</v>
      </c>
      <c r="K66" s="81">
        <f t="shared" si="10"/>
        <v>336958091</v>
      </c>
      <c r="L66" s="81">
        <f t="shared" si="10"/>
        <v>355490785.67500007</v>
      </c>
      <c r="M66" s="82">
        <f t="shared" si="10"/>
        <v>375042780.03212506</v>
      </c>
      <c r="N66" s="128"/>
    </row>
    <row r="67" spans="1:14" ht="12.75" customHeight="1" x14ac:dyDescent="0.25">
      <c r="A67" s="292" t="s">
        <v>1169</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343017085</v>
      </c>
      <c r="D68" s="151">
        <f t="shared" ref="D68:I68" si="11">D66-D67</f>
        <v>0</v>
      </c>
      <c r="E68" s="151">
        <f t="shared" si="11"/>
        <v>0</v>
      </c>
      <c r="F68" s="151">
        <f t="shared" si="11"/>
        <v>0</v>
      </c>
      <c r="G68" s="151">
        <f t="shared" si="11"/>
        <v>0</v>
      </c>
      <c r="H68" s="151">
        <f t="shared" si="11"/>
        <v>0</v>
      </c>
      <c r="I68" s="151">
        <f t="shared" si="11"/>
        <v>-6058994</v>
      </c>
      <c r="J68" s="151">
        <f>SUM(J66:J67)</f>
        <v>-6058994</v>
      </c>
      <c r="K68" s="151">
        <f>SUM(K66:K67)</f>
        <v>336958091</v>
      </c>
      <c r="L68" s="151">
        <f>L66-L67</f>
        <v>355490785.67500007</v>
      </c>
      <c r="M68" s="152">
        <f>M66-M67</f>
        <v>375042780.03212506</v>
      </c>
      <c r="N68" s="128"/>
    </row>
    <row r="69" spans="1:14" ht="4.9000000000000004" customHeight="1" x14ac:dyDescent="0.25">
      <c r="A69" s="136"/>
      <c r="B69" s="288"/>
      <c r="C69" s="74"/>
      <c r="D69" s="75"/>
      <c r="E69" s="75"/>
      <c r="F69" s="75"/>
      <c r="G69" s="75"/>
      <c r="H69" s="75"/>
      <c r="I69" s="75"/>
      <c r="J69" s="75"/>
      <c r="K69" s="75"/>
      <c r="L69" s="75"/>
      <c r="M69" s="76"/>
      <c r="N69" s="128"/>
    </row>
    <row r="70" spans="1:14" ht="14.25" customHeight="1" x14ac:dyDescent="0.25">
      <c r="A70" s="126" t="s">
        <v>1170</v>
      </c>
      <c r="B70" s="288"/>
      <c r="C70" s="74"/>
      <c r="D70" s="75"/>
      <c r="E70" s="75"/>
      <c r="F70" s="75"/>
      <c r="G70" s="75"/>
      <c r="H70" s="75"/>
      <c r="I70" s="75"/>
      <c r="J70" s="75"/>
      <c r="K70" s="75"/>
      <c r="L70" s="75"/>
      <c r="M70" s="76"/>
      <c r="N70" s="128"/>
    </row>
    <row r="71" spans="1:14" ht="14.25" customHeight="1" x14ac:dyDescent="0.25">
      <c r="A71" s="293" t="s">
        <v>1171</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45"/>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565</v>
      </c>
      <c r="B79" s="288"/>
      <c r="C79" s="74"/>
      <c r="D79" s="75"/>
      <c r="E79" s="75"/>
      <c r="F79" s="75"/>
      <c r="G79" s="75"/>
      <c r="H79" s="75"/>
      <c r="I79" s="75"/>
      <c r="J79" s="75"/>
      <c r="K79" s="75"/>
      <c r="L79" s="75"/>
      <c r="M79" s="76"/>
      <c r="N79" s="128"/>
    </row>
    <row r="80" spans="1:14" ht="12.75" customHeight="1" x14ac:dyDescent="0.25">
      <c r="A80" s="30" t="s">
        <v>1172</v>
      </c>
      <c r="B80" s="288"/>
      <c r="C80" s="130">
        <v>133475495.84</v>
      </c>
      <c r="D80" s="109"/>
      <c r="E80" s="109"/>
      <c r="F80" s="109"/>
      <c r="G80" s="109"/>
      <c r="H80" s="109"/>
      <c r="I80" s="109"/>
      <c r="J80" s="75">
        <f>SUM(E80:I80)</f>
        <v>0</v>
      </c>
      <c r="K80" s="75">
        <f>IF(D80=0,C80+J80,D80+J80)</f>
        <v>133475495.84</v>
      </c>
      <c r="L80" s="109">
        <v>135403832</v>
      </c>
      <c r="M80" s="110">
        <v>138917142</v>
      </c>
      <c r="N80" s="128"/>
    </row>
    <row r="81" spans="1:14" ht="12.75" customHeight="1" x14ac:dyDescent="0.25">
      <c r="A81" s="30" t="s">
        <v>1173</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1174</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1349</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133475495.84</v>
      </c>
      <c r="D84" s="151">
        <f t="shared" ref="D84:M84" si="15">SUM(D80:D82)-D83</f>
        <v>0</v>
      </c>
      <c r="E84" s="151">
        <f t="shared" si="15"/>
        <v>0</v>
      </c>
      <c r="F84" s="151">
        <f t="shared" si="15"/>
        <v>0</v>
      </c>
      <c r="G84" s="151">
        <f t="shared" si="15"/>
        <v>0</v>
      </c>
      <c r="H84" s="151">
        <f t="shared" si="15"/>
        <v>0</v>
      </c>
      <c r="I84" s="151">
        <f t="shared" si="15"/>
        <v>0</v>
      </c>
      <c r="J84" s="151">
        <f t="shared" si="15"/>
        <v>0</v>
      </c>
      <c r="K84" s="151">
        <f t="shared" si="15"/>
        <v>133475495.84</v>
      </c>
      <c r="L84" s="151">
        <f t="shared" si="15"/>
        <v>135403832</v>
      </c>
      <c r="M84" s="152">
        <f t="shared" si="15"/>
        <v>138917142</v>
      </c>
      <c r="N84" s="128"/>
    </row>
    <row r="85" spans="1:14" ht="4.9000000000000004" customHeight="1" x14ac:dyDescent="0.25">
      <c r="A85" s="139"/>
      <c r="B85" s="288"/>
      <c r="C85" s="74"/>
      <c r="D85" s="75"/>
      <c r="E85" s="75"/>
      <c r="F85" s="75"/>
      <c r="G85" s="75"/>
      <c r="H85" s="75"/>
      <c r="I85" s="75"/>
      <c r="J85" s="75"/>
      <c r="K85" s="75"/>
      <c r="L85" s="75"/>
      <c r="M85" s="76"/>
      <c r="N85" s="128"/>
    </row>
    <row r="86" spans="1:14" ht="12.75" customHeight="1" x14ac:dyDescent="0.25">
      <c r="A86" s="126" t="s">
        <v>655</v>
      </c>
      <c r="B86" s="288"/>
      <c r="C86" s="74"/>
      <c r="D86" s="75"/>
      <c r="E86" s="75"/>
      <c r="F86" s="75"/>
      <c r="G86" s="75"/>
      <c r="H86" s="75"/>
      <c r="I86" s="75"/>
      <c r="J86" s="75"/>
      <c r="K86" s="75"/>
      <c r="L86" s="75"/>
      <c r="M86" s="76"/>
      <c r="N86" s="128"/>
    </row>
    <row r="87" spans="1:14" ht="12.75" customHeight="1" x14ac:dyDescent="0.25">
      <c r="A87" s="129" t="s">
        <v>1444</v>
      </c>
      <c r="B87" s="288"/>
      <c r="C87" s="130">
        <v>340000000</v>
      </c>
      <c r="D87" s="109"/>
      <c r="E87" s="109"/>
      <c r="F87" s="109"/>
      <c r="G87" s="109"/>
      <c r="H87" s="109"/>
      <c r="I87" s="109"/>
      <c r="J87" s="75">
        <f>SUM(E87:I87)</f>
        <v>0</v>
      </c>
      <c r="K87" s="75">
        <f>IF(D87=0,C87+J87,D87+J87)</f>
        <v>340000000</v>
      </c>
      <c r="L87" s="109">
        <v>358700000</v>
      </c>
      <c r="M87" s="110">
        <v>378428500</v>
      </c>
      <c r="N87" s="128"/>
    </row>
    <row r="88" spans="1:14" ht="12.75" customHeight="1" x14ac:dyDescent="0.25">
      <c r="A88" s="129" t="s">
        <v>1445</v>
      </c>
      <c r="B88" s="288"/>
      <c r="C88" s="130"/>
      <c r="D88" s="109"/>
      <c r="E88" s="109"/>
      <c r="F88" s="109"/>
      <c r="G88" s="109"/>
      <c r="H88" s="109"/>
      <c r="I88" s="109"/>
      <c r="J88" s="75">
        <f>SUM(E88:I88)</f>
        <v>0</v>
      </c>
      <c r="K88" s="75">
        <f>IF(D88=0,C88+J88,D88+J88)</f>
        <v>0</v>
      </c>
      <c r="L88" s="109"/>
      <c r="M88" s="110"/>
      <c r="N88" s="128"/>
    </row>
    <row r="89" spans="1:14" ht="12.75" customHeight="1" x14ac:dyDescent="0.25">
      <c r="A89" s="139" t="s">
        <v>1175</v>
      </c>
      <c r="B89" s="288">
        <v>1</v>
      </c>
      <c r="C89" s="150">
        <f t="shared" ref="C89:M89" si="16">SUM(C87:C88)</f>
        <v>340000000</v>
      </c>
      <c r="D89" s="151">
        <f t="shared" si="16"/>
        <v>0</v>
      </c>
      <c r="E89" s="151">
        <f t="shared" si="16"/>
        <v>0</v>
      </c>
      <c r="F89" s="151">
        <f t="shared" si="16"/>
        <v>0</v>
      </c>
      <c r="G89" s="151">
        <f t="shared" si="16"/>
        <v>0</v>
      </c>
      <c r="H89" s="151">
        <f t="shared" si="16"/>
        <v>0</v>
      </c>
      <c r="I89" s="151">
        <f t="shared" si="16"/>
        <v>0</v>
      </c>
      <c r="J89" s="151">
        <f t="shared" si="16"/>
        <v>0</v>
      </c>
      <c r="K89" s="151">
        <f t="shared" si="16"/>
        <v>340000000</v>
      </c>
      <c r="L89" s="151">
        <f t="shared" si="16"/>
        <v>358700000</v>
      </c>
      <c r="M89" s="152">
        <f t="shared" si="16"/>
        <v>378428500</v>
      </c>
      <c r="N89" s="128"/>
    </row>
    <row r="90" spans="1:14" ht="4.9000000000000004" customHeight="1" x14ac:dyDescent="0.25">
      <c r="A90" s="139"/>
      <c r="B90" s="288"/>
      <c r="C90" s="74"/>
      <c r="D90" s="75"/>
      <c r="E90" s="75"/>
      <c r="F90" s="75"/>
      <c r="G90" s="75"/>
      <c r="H90" s="75"/>
      <c r="I90" s="75"/>
      <c r="J90" s="75"/>
      <c r="K90" s="75"/>
      <c r="L90" s="75"/>
      <c r="M90" s="76"/>
      <c r="N90" s="128"/>
    </row>
    <row r="91" spans="1:14" x14ac:dyDescent="0.25">
      <c r="A91" s="126" t="s">
        <v>658</v>
      </c>
      <c r="B91" s="288"/>
      <c r="C91" s="74"/>
      <c r="D91" s="75"/>
      <c r="E91" s="75"/>
      <c r="F91" s="75"/>
      <c r="G91" s="75"/>
      <c r="H91" s="75"/>
      <c r="I91" s="75"/>
      <c r="J91" s="75"/>
      <c r="K91" s="75"/>
      <c r="L91" s="75"/>
      <c r="M91" s="76"/>
      <c r="N91" s="128"/>
    </row>
    <row r="92" spans="1:14" x14ac:dyDescent="0.25">
      <c r="A92" s="129" t="s">
        <v>1446</v>
      </c>
      <c r="B92" s="288"/>
      <c r="C92" s="109">
        <v>30804673</v>
      </c>
      <c r="D92" s="109"/>
      <c r="E92" s="109"/>
      <c r="F92" s="109"/>
      <c r="G92" s="109"/>
      <c r="H92" s="109"/>
      <c r="I92" s="109"/>
      <c r="J92" s="75">
        <f>SUM(E92:I92)</f>
        <v>0</v>
      </c>
      <c r="K92" s="75">
        <f>IF(D92=0,C92+J92,D92+J92)</f>
        <v>30804673</v>
      </c>
      <c r="L92" s="109">
        <v>25695545.015000001</v>
      </c>
      <c r="M92" s="110">
        <v>22613584.990825001</v>
      </c>
      <c r="N92" s="128"/>
    </row>
    <row r="93" spans="1:14" x14ac:dyDescent="0.25">
      <c r="A93" s="129" t="s">
        <v>1447</v>
      </c>
      <c r="B93" s="288"/>
      <c r="C93" s="144"/>
      <c r="D93" s="144"/>
      <c r="E93" s="144"/>
      <c r="F93" s="144"/>
      <c r="G93" s="144"/>
      <c r="H93" s="144"/>
      <c r="I93" s="144"/>
      <c r="J93" s="145">
        <f>SUM(E93:I93)</f>
        <v>0</v>
      </c>
      <c r="K93" s="145">
        <f>IF(D93=0,C93+J93,D93+J93)</f>
        <v>0</v>
      </c>
      <c r="L93" s="144"/>
      <c r="M93" s="113"/>
      <c r="N93" s="128"/>
    </row>
    <row r="94" spans="1:14" x14ac:dyDescent="0.25">
      <c r="A94" s="139" t="s">
        <v>1448</v>
      </c>
      <c r="B94" s="288"/>
      <c r="C94" s="141">
        <f t="shared" ref="C94:I94" si="17">SUM(C92:C93)</f>
        <v>30804673</v>
      </c>
      <c r="D94" s="141">
        <f t="shared" si="17"/>
        <v>0</v>
      </c>
      <c r="E94" s="141">
        <f t="shared" si="17"/>
        <v>0</v>
      </c>
      <c r="F94" s="141">
        <f t="shared" si="17"/>
        <v>0</v>
      </c>
      <c r="G94" s="141">
        <f t="shared" si="17"/>
        <v>0</v>
      </c>
      <c r="H94" s="141">
        <f t="shared" si="17"/>
        <v>0</v>
      </c>
      <c r="I94" s="141">
        <f t="shared" si="17"/>
        <v>0</v>
      </c>
      <c r="J94" s="141">
        <f>SUM(J92:J93)</f>
        <v>0</v>
      </c>
      <c r="K94" s="141">
        <f>SUM(K92:K93)</f>
        <v>30804673</v>
      </c>
      <c r="L94" s="141">
        <f>SUM(L92:L93)</f>
        <v>25695545.015000001</v>
      </c>
      <c r="M94" s="142">
        <f>SUM(M92:M93)</f>
        <v>22613584.990825001</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657</v>
      </c>
      <c r="B96" s="288"/>
      <c r="C96" s="74"/>
      <c r="D96" s="75"/>
      <c r="E96" s="75"/>
      <c r="F96" s="75"/>
      <c r="G96" s="75"/>
      <c r="H96" s="75"/>
      <c r="I96" s="75"/>
      <c r="J96" s="75"/>
      <c r="K96" s="75"/>
      <c r="L96" s="75"/>
      <c r="M96" s="76"/>
      <c r="N96" s="128"/>
    </row>
    <row r="97" spans="1:14" ht="12.75" customHeight="1" x14ac:dyDescent="0.25">
      <c r="A97" s="293" t="s">
        <v>1176</v>
      </c>
      <c r="B97" s="288"/>
      <c r="C97" s="109"/>
      <c r="D97" s="109"/>
      <c r="E97" s="109"/>
      <c r="F97" s="109"/>
      <c r="G97" s="109"/>
      <c r="H97" s="109"/>
      <c r="I97" s="109"/>
      <c r="J97" s="75">
        <f t="shared" ref="J97:J119" si="18">SUM(E97:I97)</f>
        <v>0</v>
      </c>
      <c r="K97" s="75">
        <f t="shared" ref="K97:K119" si="19">IF(D97=0,C97+J97,D97+J97)</f>
        <v>0</v>
      </c>
      <c r="L97" s="109"/>
      <c r="M97" s="110"/>
      <c r="N97" s="128"/>
    </row>
    <row r="98" spans="1:14" ht="12.75" customHeight="1" x14ac:dyDescent="0.25">
      <c r="A98" s="293" t="s">
        <v>1003</v>
      </c>
      <c r="B98" s="288"/>
      <c r="C98" s="109">
        <v>485000</v>
      </c>
      <c r="D98" s="109"/>
      <c r="E98" s="109"/>
      <c r="F98" s="109"/>
      <c r="G98" s="109"/>
      <c r="H98" s="109"/>
      <c r="I98" s="109"/>
      <c r="J98" s="75">
        <f t="shared" si="18"/>
        <v>0</v>
      </c>
      <c r="K98" s="75">
        <f t="shared" si="19"/>
        <v>485000</v>
      </c>
      <c r="L98" s="109">
        <v>511675</v>
      </c>
      <c r="M98" s="110">
        <v>539817.125</v>
      </c>
      <c r="N98" s="128"/>
    </row>
    <row r="99" spans="1:14" ht="12.75" customHeight="1" x14ac:dyDescent="0.25">
      <c r="A99" s="293" t="s">
        <v>1931</v>
      </c>
      <c r="B99" s="288"/>
      <c r="C99" s="109">
        <v>1702501</v>
      </c>
      <c r="D99" s="109"/>
      <c r="E99" s="109"/>
      <c r="F99" s="109"/>
      <c r="G99" s="109"/>
      <c r="H99" s="109"/>
      <c r="I99" s="109"/>
      <c r="J99" s="75">
        <f t="shared" si="18"/>
        <v>0</v>
      </c>
      <c r="K99" s="75">
        <f t="shared" si="19"/>
        <v>1702501</v>
      </c>
      <c r="L99" s="109">
        <v>1796138.5549999999</v>
      </c>
      <c r="M99" s="110">
        <v>1894926.1755250001</v>
      </c>
      <c r="N99" s="128"/>
    </row>
    <row r="100" spans="1:14" ht="12.75" customHeight="1" x14ac:dyDescent="0.25">
      <c r="A100" s="293" t="s">
        <v>1513</v>
      </c>
      <c r="B100" s="288"/>
      <c r="C100" s="109">
        <v>3787628</v>
      </c>
      <c r="D100" s="109"/>
      <c r="E100" s="109"/>
      <c r="F100" s="109"/>
      <c r="G100" s="109"/>
      <c r="H100" s="109"/>
      <c r="I100" s="109">
        <v>3000000</v>
      </c>
      <c r="J100" s="75">
        <f t="shared" si="18"/>
        <v>3000000</v>
      </c>
      <c r="K100" s="75">
        <f t="shared" si="19"/>
        <v>6787628</v>
      </c>
      <c r="L100" s="109">
        <v>3995947.54</v>
      </c>
      <c r="M100" s="110">
        <v>4215724.6547000008</v>
      </c>
      <c r="N100" s="128"/>
    </row>
    <row r="101" spans="1:14" ht="12.75" customHeight="1" x14ac:dyDescent="0.25">
      <c r="A101" s="293" t="s">
        <v>1724</v>
      </c>
      <c r="B101" s="288"/>
      <c r="C101" s="109">
        <v>13950000</v>
      </c>
      <c r="D101" s="109"/>
      <c r="E101" s="109"/>
      <c r="F101" s="109"/>
      <c r="G101" s="109"/>
      <c r="H101" s="109"/>
      <c r="I101" s="109"/>
      <c r="J101" s="75">
        <f t="shared" si="18"/>
        <v>0</v>
      </c>
      <c r="K101" s="75">
        <f t="shared" si="19"/>
        <v>13950000</v>
      </c>
      <c r="L101" s="109">
        <v>14717250</v>
      </c>
      <c r="M101" s="110">
        <v>15526698.75</v>
      </c>
      <c r="N101" s="128"/>
    </row>
    <row r="102" spans="1:14" ht="12.75" customHeight="1" x14ac:dyDescent="0.25">
      <c r="A102" s="293" t="s">
        <v>1932</v>
      </c>
      <c r="B102" s="288"/>
      <c r="C102" s="109">
        <v>13603118</v>
      </c>
      <c r="D102" s="109"/>
      <c r="E102" s="109"/>
      <c r="F102" s="109"/>
      <c r="G102" s="109"/>
      <c r="H102" s="109"/>
      <c r="I102" s="109"/>
      <c r="J102" s="75">
        <f t="shared" si="18"/>
        <v>0</v>
      </c>
      <c r="K102" s="75">
        <f t="shared" si="19"/>
        <v>13603118</v>
      </c>
      <c r="L102" s="109">
        <v>14351289.49</v>
      </c>
      <c r="M102" s="110">
        <v>15140610.41195</v>
      </c>
      <c r="N102" s="128"/>
    </row>
    <row r="103" spans="1:14" ht="12.75" customHeight="1" x14ac:dyDescent="0.25">
      <c r="A103" s="293" t="s">
        <v>1933</v>
      </c>
      <c r="B103" s="288"/>
      <c r="C103" s="109">
        <v>2100000</v>
      </c>
      <c r="D103" s="109"/>
      <c r="E103" s="109"/>
      <c r="F103" s="109"/>
      <c r="G103" s="109"/>
      <c r="H103" s="109"/>
      <c r="I103" s="109"/>
      <c r="J103" s="75">
        <f t="shared" si="18"/>
        <v>0</v>
      </c>
      <c r="K103" s="75">
        <f t="shared" si="19"/>
        <v>2100000</v>
      </c>
      <c r="L103" s="109">
        <v>2215500</v>
      </c>
      <c r="M103" s="110">
        <v>2337352.5</v>
      </c>
      <c r="N103" s="128"/>
    </row>
    <row r="104" spans="1:14" ht="12.75" customHeight="1" x14ac:dyDescent="0.25">
      <c r="A104" s="293" t="s">
        <v>1934</v>
      </c>
      <c r="B104" s="288"/>
      <c r="C104" s="109">
        <v>1389150</v>
      </c>
      <c r="D104" s="109"/>
      <c r="E104" s="109"/>
      <c r="F104" s="109"/>
      <c r="G104" s="109"/>
      <c r="H104" s="109"/>
      <c r="I104" s="109"/>
      <c r="J104" s="75">
        <f t="shared" si="18"/>
        <v>0</v>
      </c>
      <c r="K104" s="75">
        <f t="shared" si="19"/>
        <v>1389150</v>
      </c>
      <c r="L104" s="109">
        <v>1465553.25</v>
      </c>
      <c r="M104" s="110">
        <v>1546158.67875</v>
      </c>
      <c r="N104" s="128"/>
    </row>
    <row r="105" spans="1:14" ht="12.75" customHeight="1" x14ac:dyDescent="0.25">
      <c r="A105" s="293" t="s">
        <v>1935</v>
      </c>
      <c r="B105" s="288"/>
      <c r="C105" s="109">
        <v>165632</v>
      </c>
      <c r="D105" s="109"/>
      <c r="E105" s="109"/>
      <c r="F105" s="109"/>
      <c r="G105" s="109"/>
      <c r="H105" s="109"/>
      <c r="I105" s="109"/>
      <c r="J105" s="75">
        <f t="shared" si="18"/>
        <v>0</v>
      </c>
      <c r="K105" s="75">
        <f t="shared" si="19"/>
        <v>165632</v>
      </c>
      <c r="L105" s="109">
        <v>174741.76000000001</v>
      </c>
      <c r="M105" s="110">
        <v>184352.55680000002</v>
      </c>
      <c r="N105" s="128"/>
    </row>
    <row r="106" spans="1:14" ht="12.75" customHeight="1" x14ac:dyDescent="0.25">
      <c r="A106" s="293" t="s">
        <v>1822</v>
      </c>
      <c r="B106" s="288"/>
      <c r="C106" s="109">
        <v>400000</v>
      </c>
      <c r="D106" s="109"/>
      <c r="E106" s="109"/>
      <c r="F106" s="109"/>
      <c r="G106" s="109"/>
      <c r="H106" s="109"/>
      <c r="I106" s="109"/>
      <c r="J106" s="75">
        <f t="shared" si="18"/>
        <v>0</v>
      </c>
      <c r="K106" s="75">
        <f t="shared" si="19"/>
        <v>400000</v>
      </c>
      <c r="L106" s="109">
        <v>422000</v>
      </c>
      <c r="M106" s="110">
        <v>445210</v>
      </c>
      <c r="N106" s="128"/>
    </row>
    <row r="107" spans="1:14" ht="12.75" customHeight="1" x14ac:dyDescent="0.25">
      <c r="A107" s="293" t="s">
        <v>1936</v>
      </c>
      <c r="B107" s="288"/>
      <c r="C107" s="109">
        <v>3500000</v>
      </c>
      <c r="D107" s="109"/>
      <c r="E107" s="109"/>
      <c r="F107" s="109"/>
      <c r="G107" s="109"/>
      <c r="H107" s="109"/>
      <c r="I107" s="109"/>
      <c r="J107" s="75">
        <f t="shared" si="18"/>
        <v>0</v>
      </c>
      <c r="K107" s="75">
        <f t="shared" si="19"/>
        <v>3500000</v>
      </c>
      <c r="L107" s="109">
        <v>3692500</v>
      </c>
      <c r="M107" s="110">
        <v>3895587.5</v>
      </c>
      <c r="N107" s="128"/>
    </row>
    <row r="108" spans="1:14" ht="12.75" customHeight="1" x14ac:dyDescent="0.25">
      <c r="A108" s="293" t="s">
        <v>1937</v>
      </c>
      <c r="B108" s="288"/>
      <c r="C108" s="109">
        <v>3200000</v>
      </c>
      <c r="D108" s="109"/>
      <c r="E108" s="109"/>
      <c r="F108" s="109"/>
      <c r="G108" s="109"/>
      <c r="H108" s="109"/>
      <c r="I108" s="109"/>
      <c r="J108" s="75">
        <f t="shared" si="18"/>
        <v>0</v>
      </c>
      <c r="K108" s="75">
        <f t="shared" si="19"/>
        <v>3200000</v>
      </c>
      <c r="L108" s="109">
        <v>3376000</v>
      </c>
      <c r="M108" s="110">
        <v>3561680</v>
      </c>
      <c r="N108" s="128"/>
    </row>
    <row r="109" spans="1:14" ht="12.75" customHeight="1" x14ac:dyDescent="0.25">
      <c r="A109" s="293" t="s">
        <v>1938</v>
      </c>
      <c r="B109" s="288"/>
      <c r="C109" s="109">
        <v>2142979</v>
      </c>
      <c r="D109" s="109"/>
      <c r="E109" s="109"/>
      <c r="F109" s="109"/>
      <c r="G109" s="109"/>
      <c r="H109" s="109"/>
      <c r="I109" s="109"/>
      <c r="J109" s="75">
        <f t="shared" si="18"/>
        <v>0</v>
      </c>
      <c r="K109" s="75">
        <f t="shared" si="19"/>
        <v>2142979</v>
      </c>
      <c r="L109" s="109">
        <v>2260842.8450000002</v>
      </c>
      <c r="M109" s="110">
        <v>2385189.201475</v>
      </c>
      <c r="N109" s="128"/>
    </row>
    <row r="110" spans="1:14" ht="12.75" customHeight="1" x14ac:dyDescent="0.25">
      <c r="A110" s="293" t="s">
        <v>1939</v>
      </c>
      <c r="B110" s="288"/>
      <c r="C110" s="109">
        <v>7640364</v>
      </c>
      <c r="D110" s="109"/>
      <c r="E110" s="109"/>
      <c r="F110" s="109"/>
      <c r="G110" s="109"/>
      <c r="H110" s="109"/>
      <c r="I110" s="109"/>
      <c r="J110" s="75">
        <f t="shared" si="18"/>
        <v>0</v>
      </c>
      <c r="K110" s="75">
        <f t="shared" si="19"/>
        <v>7640364</v>
      </c>
      <c r="L110" s="109">
        <v>8060584.0199999996</v>
      </c>
      <c r="M110" s="110">
        <v>8503916.1410999987</v>
      </c>
      <c r="N110" s="128"/>
    </row>
    <row r="111" spans="1:14" ht="12.75" customHeight="1" x14ac:dyDescent="0.25">
      <c r="A111" s="293" t="s">
        <v>1940</v>
      </c>
      <c r="B111" s="288"/>
      <c r="C111" s="109"/>
      <c r="D111" s="109"/>
      <c r="E111" s="109"/>
      <c r="F111" s="109"/>
      <c r="G111" s="109"/>
      <c r="H111" s="109"/>
      <c r="I111" s="109"/>
      <c r="J111" s="75">
        <f t="shared" si="18"/>
        <v>0</v>
      </c>
      <c r="K111" s="75">
        <f t="shared" si="19"/>
        <v>0</v>
      </c>
      <c r="L111" s="109"/>
      <c r="M111" s="110"/>
      <c r="N111" s="128"/>
    </row>
    <row r="112" spans="1:14" ht="12.75" customHeight="1" x14ac:dyDescent="0.25">
      <c r="A112" s="293"/>
      <c r="B112" s="288"/>
      <c r="C112" s="109"/>
      <c r="D112" s="109"/>
      <c r="E112" s="109"/>
      <c r="F112" s="109"/>
      <c r="G112" s="109"/>
      <c r="H112" s="109"/>
      <c r="I112" s="109"/>
      <c r="J112" s="75">
        <f t="shared" si="18"/>
        <v>0</v>
      </c>
      <c r="K112" s="75">
        <f t="shared" si="19"/>
        <v>0</v>
      </c>
      <c r="L112" s="109"/>
      <c r="M112" s="110"/>
      <c r="N112" s="128"/>
    </row>
    <row r="113" spans="1:14" ht="12.75" customHeight="1" x14ac:dyDescent="0.25">
      <c r="A113" s="293"/>
      <c r="B113" s="288"/>
      <c r="C113" s="109"/>
      <c r="D113" s="109"/>
      <c r="E113" s="109"/>
      <c r="F113" s="109"/>
      <c r="G113" s="109"/>
      <c r="H113" s="109"/>
      <c r="I113" s="109"/>
      <c r="J113" s="75">
        <f t="shared" si="18"/>
        <v>0</v>
      </c>
      <c r="K113" s="75">
        <f t="shared" si="19"/>
        <v>0</v>
      </c>
      <c r="L113" s="109"/>
      <c r="M113" s="110"/>
      <c r="N113" s="128"/>
    </row>
    <row r="114" spans="1:14" ht="12.75" customHeight="1" x14ac:dyDescent="0.25">
      <c r="A114" s="293"/>
      <c r="B114" s="288"/>
      <c r="C114" s="109"/>
      <c r="D114" s="109"/>
      <c r="E114" s="109"/>
      <c r="F114" s="109"/>
      <c r="G114" s="109"/>
      <c r="H114" s="109"/>
      <c r="I114" s="109"/>
      <c r="J114" s="75">
        <f t="shared" si="18"/>
        <v>0</v>
      </c>
      <c r="K114" s="75">
        <f t="shared" si="19"/>
        <v>0</v>
      </c>
      <c r="L114" s="109"/>
      <c r="M114" s="110"/>
      <c r="N114" s="128"/>
    </row>
    <row r="115" spans="1:14" ht="12.75" customHeight="1" x14ac:dyDescent="0.25">
      <c r="A115" s="293"/>
      <c r="B115" s="288"/>
      <c r="C115" s="109"/>
      <c r="D115" s="109"/>
      <c r="E115" s="109"/>
      <c r="F115" s="109"/>
      <c r="G115" s="109"/>
      <c r="H115" s="109"/>
      <c r="I115" s="109"/>
      <c r="J115" s="75">
        <f t="shared" si="18"/>
        <v>0</v>
      </c>
      <c r="K115" s="75">
        <f t="shared" si="19"/>
        <v>0</v>
      </c>
      <c r="L115" s="109"/>
      <c r="M115" s="110"/>
      <c r="N115" s="128"/>
    </row>
    <row r="116" spans="1:14" ht="12.75" customHeight="1" x14ac:dyDescent="0.25">
      <c r="A116" s="293"/>
      <c r="B116" s="288"/>
      <c r="C116" s="109"/>
      <c r="D116" s="109"/>
      <c r="E116" s="109"/>
      <c r="F116" s="109"/>
      <c r="G116" s="109"/>
      <c r="H116" s="109"/>
      <c r="I116" s="109"/>
      <c r="J116" s="75">
        <f t="shared" si="18"/>
        <v>0</v>
      </c>
      <c r="K116" s="75">
        <f t="shared" si="19"/>
        <v>0</v>
      </c>
      <c r="L116" s="109"/>
      <c r="M116" s="110"/>
      <c r="N116" s="128"/>
    </row>
    <row r="117" spans="1:14" ht="12.75" customHeight="1" x14ac:dyDescent="0.25">
      <c r="A117" s="293"/>
      <c r="B117" s="288"/>
      <c r="C117" s="109"/>
      <c r="D117" s="109"/>
      <c r="E117" s="109"/>
      <c r="F117" s="109"/>
      <c r="G117" s="109"/>
      <c r="H117" s="109"/>
      <c r="I117" s="109"/>
      <c r="J117" s="75">
        <f t="shared" si="18"/>
        <v>0</v>
      </c>
      <c r="K117" s="75">
        <f t="shared" si="19"/>
        <v>0</v>
      </c>
      <c r="L117" s="109"/>
      <c r="M117" s="110"/>
      <c r="N117" s="128"/>
    </row>
    <row r="118" spans="1:14" ht="12.75" customHeight="1" x14ac:dyDescent="0.25">
      <c r="A118" s="293"/>
      <c r="B118" s="288"/>
      <c r="C118" s="109"/>
      <c r="D118" s="109"/>
      <c r="E118" s="109"/>
      <c r="F118" s="109"/>
      <c r="G118" s="109"/>
      <c r="H118" s="109"/>
      <c r="I118" s="109"/>
      <c r="J118" s="75">
        <f t="shared" si="18"/>
        <v>0</v>
      </c>
      <c r="K118" s="75">
        <f t="shared" si="19"/>
        <v>0</v>
      </c>
      <c r="L118" s="109"/>
      <c r="M118" s="110"/>
      <c r="N118" s="128"/>
    </row>
    <row r="119" spans="1:14" ht="12.75" customHeight="1" x14ac:dyDescent="0.25">
      <c r="A119" s="293"/>
      <c r="B119" s="288"/>
      <c r="C119" s="109"/>
      <c r="D119" s="109"/>
      <c r="E119" s="109"/>
      <c r="F119" s="109"/>
      <c r="G119" s="109"/>
      <c r="H119" s="109"/>
      <c r="I119" s="109"/>
      <c r="J119" s="75">
        <f t="shared" si="18"/>
        <v>0</v>
      </c>
      <c r="K119" s="75">
        <f t="shared" si="19"/>
        <v>0</v>
      </c>
      <c r="L119" s="109"/>
      <c r="M119" s="110"/>
      <c r="N119" s="128"/>
    </row>
    <row r="120" spans="1:14" ht="12.75" customHeight="1" x14ac:dyDescent="0.25">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5">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5">
      <c r="A122" s="291" t="s">
        <v>1168</v>
      </c>
      <c r="B122" s="288">
        <v>1</v>
      </c>
      <c r="C122" s="140">
        <f>SUM(C97:C121)</f>
        <v>54066372</v>
      </c>
      <c r="D122" s="140">
        <f>SUM(D97:D121)</f>
        <v>0</v>
      </c>
      <c r="E122" s="141">
        <f>SUM(E97:E121)</f>
        <v>0</v>
      </c>
      <c r="F122" s="141">
        <f t="shared" ref="F122:M122" si="20">SUM(F97:F121)</f>
        <v>0</v>
      </c>
      <c r="G122" s="141">
        <f t="shared" si="20"/>
        <v>0</v>
      </c>
      <c r="H122" s="141">
        <f t="shared" si="20"/>
        <v>0</v>
      </c>
      <c r="I122" s="141">
        <f t="shared" si="20"/>
        <v>3000000</v>
      </c>
      <c r="J122" s="141">
        <f t="shared" si="20"/>
        <v>3000000</v>
      </c>
      <c r="K122" s="141">
        <f t="shared" si="20"/>
        <v>57066372</v>
      </c>
      <c r="L122" s="141">
        <f t="shared" si="20"/>
        <v>57040022.459999993</v>
      </c>
      <c r="M122" s="142">
        <f t="shared" si="20"/>
        <v>60177223.695299998</v>
      </c>
      <c r="N122" s="128"/>
    </row>
    <row r="123" spans="1:14" ht="12.75" customHeight="1" x14ac:dyDescent="0.25">
      <c r="A123" s="165" t="s">
        <v>1177</v>
      </c>
      <c r="B123" s="288"/>
      <c r="C123" s="74"/>
      <c r="D123" s="75"/>
      <c r="E123" s="75"/>
      <c r="F123" s="75"/>
      <c r="G123" s="75"/>
      <c r="H123" s="75"/>
      <c r="I123" s="75"/>
      <c r="J123" s="75"/>
      <c r="K123" s="75"/>
      <c r="L123" s="75"/>
      <c r="M123" s="76"/>
      <c r="N123" s="128"/>
    </row>
    <row r="124" spans="1:14" ht="12.75" customHeight="1" x14ac:dyDescent="0.25">
      <c r="A124" s="163" t="s">
        <v>628</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5">
      <c r="A125" s="163" t="s">
        <v>629</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5">
      <c r="A126" s="163" t="s">
        <v>1094</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5">
      <c r="A127" s="163" t="s">
        <v>632</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5">
      <c r="A128" s="139" t="s">
        <v>1450</v>
      </c>
      <c r="B128" s="288"/>
      <c r="C128" s="150">
        <f>SUM(C122:C127)</f>
        <v>54066372</v>
      </c>
      <c r="D128" s="151">
        <f t="shared" ref="D128:M128" si="21">SUM(D122:D127)</f>
        <v>0</v>
      </c>
      <c r="E128" s="1086">
        <f t="shared" si="21"/>
        <v>0</v>
      </c>
      <c r="F128" s="1086">
        <f t="shared" si="21"/>
        <v>0</v>
      </c>
      <c r="G128" s="1086">
        <f t="shared" si="21"/>
        <v>0</v>
      </c>
      <c r="H128" s="1086">
        <f t="shared" si="21"/>
        <v>0</v>
      </c>
      <c r="I128" s="1086">
        <f t="shared" si="21"/>
        <v>3000000</v>
      </c>
      <c r="J128" s="1086">
        <f t="shared" si="21"/>
        <v>3000000</v>
      </c>
      <c r="K128" s="1086">
        <f t="shared" si="21"/>
        <v>57066372</v>
      </c>
      <c r="L128" s="1086">
        <f t="shared" si="21"/>
        <v>57040022.459999993</v>
      </c>
      <c r="M128" s="1087">
        <f t="shared" si="21"/>
        <v>60177223.695299998</v>
      </c>
      <c r="N128" s="128"/>
    </row>
    <row r="129" spans="1:14" ht="4.9000000000000004"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1178</v>
      </c>
      <c r="B130" s="295"/>
      <c r="C130" s="74"/>
      <c r="D130" s="75"/>
      <c r="E130" s="75"/>
      <c r="F130" s="75"/>
      <c r="G130" s="75"/>
      <c r="H130" s="75"/>
      <c r="I130" s="75"/>
      <c r="J130" s="75"/>
      <c r="K130" s="75"/>
      <c r="L130" s="75"/>
      <c r="M130" s="76"/>
      <c r="N130" s="128"/>
    </row>
    <row r="131" spans="1:14" ht="12.75" customHeight="1" x14ac:dyDescent="0.25">
      <c r="A131" s="30" t="s">
        <v>1179</v>
      </c>
      <c r="B131" s="288"/>
      <c r="C131" s="130">
        <v>1200000</v>
      </c>
      <c r="D131" s="109"/>
      <c r="E131" s="109"/>
      <c r="F131" s="109"/>
      <c r="G131" s="109"/>
      <c r="H131" s="109"/>
      <c r="I131" s="109"/>
      <c r="J131" s="75">
        <f>SUM(E131:I131)</f>
        <v>0</v>
      </c>
      <c r="K131" s="75">
        <f>IF(D131=0,C131+J131,D131+J131)</f>
        <v>1200000</v>
      </c>
      <c r="L131" s="109">
        <v>1266000</v>
      </c>
      <c r="M131" s="110">
        <v>1335630</v>
      </c>
      <c r="N131" s="128"/>
    </row>
    <row r="132" spans="1:14" ht="12.75" customHeight="1" x14ac:dyDescent="0.25">
      <c r="A132" s="30" t="s">
        <v>1180</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5">
      <c r="A133" s="30" t="s">
        <v>1181</v>
      </c>
      <c r="B133" s="288"/>
      <c r="C133" s="130">
        <v>14787410</v>
      </c>
      <c r="D133" s="109"/>
      <c r="E133" s="109"/>
      <c r="F133" s="109"/>
      <c r="G133" s="109"/>
      <c r="H133" s="109"/>
      <c r="I133" s="109">
        <f>-20000+3000000</f>
        <v>2980000</v>
      </c>
      <c r="J133" s="75">
        <f>SUM(E133:I133)</f>
        <v>2980000</v>
      </c>
      <c r="K133" s="75">
        <f>IF(D133=0,C133+J133,D133+J133)</f>
        <v>17767410</v>
      </c>
      <c r="L133" s="109">
        <v>15600717.550000001</v>
      </c>
      <c r="M133" s="110">
        <v>16458757.015249997</v>
      </c>
      <c r="N133" s="128"/>
    </row>
    <row r="134" spans="1:14" ht="12.75" customHeight="1" x14ac:dyDescent="0.25">
      <c r="A134" s="30" t="s">
        <v>1182</v>
      </c>
      <c r="B134" s="288"/>
      <c r="C134" s="130">
        <v>4000000</v>
      </c>
      <c r="D134" s="109"/>
      <c r="E134" s="109"/>
      <c r="F134" s="109"/>
      <c r="G134" s="109"/>
      <c r="H134" s="109"/>
      <c r="I134" s="109">
        <v>1500000</v>
      </c>
      <c r="J134" s="75">
        <f>SUM(E134:I134)</f>
        <v>1500000</v>
      </c>
      <c r="K134" s="75">
        <f>IF(D134=0,C134+J134,D134+J134)</f>
        <v>5500000</v>
      </c>
      <c r="L134" s="109">
        <v>4220000</v>
      </c>
      <c r="M134" s="110">
        <v>4452100</v>
      </c>
      <c r="N134" s="128"/>
    </row>
    <row r="135" spans="1:14" ht="12.75" customHeight="1" x14ac:dyDescent="0.25">
      <c r="A135" s="129" t="s">
        <v>1183</v>
      </c>
      <c r="B135" s="288" t="s">
        <v>1184</v>
      </c>
      <c r="C135" s="130">
        <v>33408529</v>
      </c>
      <c r="D135" s="109"/>
      <c r="E135" s="109"/>
      <c r="F135" s="109"/>
      <c r="G135" s="109"/>
      <c r="H135" s="109"/>
      <c r="I135" s="109">
        <f>-50000-80000-7979+300000-254933-1561435+3397358-625000+625000+35419+2661636</f>
        <v>4440066</v>
      </c>
      <c r="J135" s="75">
        <f>SUM(E135:I135)</f>
        <v>4440066</v>
      </c>
      <c r="K135" s="75">
        <f>IF(D135=0,C135+J135,D135+J135)</f>
        <v>37848595</v>
      </c>
      <c r="L135" s="109">
        <f>35169532.095-1647314+3584213+37367+2808026</f>
        <v>39951824.094999999</v>
      </c>
      <c r="M135" s="110">
        <f>37103856.360225-1737917+3781344+39422+2962467</f>
        <v>42149172.360224999</v>
      </c>
      <c r="N135" s="128"/>
    </row>
    <row r="136" spans="1:14" ht="12.75" customHeight="1" x14ac:dyDescent="0.25">
      <c r="A136" s="1081" t="s">
        <v>1449</v>
      </c>
      <c r="B136" s="288"/>
      <c r="C136" s="130"/>
      <c r="D136" s="109"/>
      <c r="E136" s="109"/>
      <c r="F136" s="109"/>
      <c r="G136" s="109"/>
      <c r="H136" s="109"/>
      <c r="I136" s="109"/>
      <c r="J136" s="75">
        <f t="shared" ref="J136:J157" si="22">SUM(E136:I136)</f>
        <v>0</v>
      </c>
      <c r="K136" s="75">
        <f t="shared" ref="K136:K157" si="23">IF(D136=0,C136+J136,D136+J136)</f>
        <v>0</v>
      </c>
      <c r="L136" s="109"/>
      <c r="M136" s="110"/>
      <c r="N136" s="128"/>
    </row>
    <row r="137" spans="1:14" ht="12.75" customHeight="1" x14ac:dyDescent="0.25">
      <c r="A137" s="1081" t="s">
        <v>1941</v>
      </c>
      <c r="B137" s="288"/>
      <c r="C137" s="130">
        <v>11572171.720000001</v>
      </c>
      <c r="D137" s="109"/>
      <c r="E137" s="130"/>
      <c r="F137" s="109"/>
      <c r="G137" s="109"/>
      <c r="H137" s="109"/>
      <c r="I137" s="130">
        <v>-11572171.720000001</v>
      </c>
      <c r="J137" s="75">
        <f t="shared" si="22"/>
        <v>-11572171.720000001</v>
      </c>
      <c r="K137" s="75">
        <f t="shared" si="23"/>
        <v>0</v>
      </c>
      <c r="L137" s="109"/>
      <c r="M137" s="110"/>
      <c r="N137" s="128"/>
    </row>
    <row r="138" spans="1:14" ht="12.75" customHeight="1" x14ac:dyDescent="0.25">
      <c r="A138" s="1081" t="s">
        <v>1942</v>
      </c>
      <c r="B138" s="288"/>
      <c r="C138" s="130">
        <v>12396441.9</v>
      </c>
      <c r="D138" s="109"/>
      <c r="E138" s="109"/>
      <c r="F138" s="109"/>
      <c r="G138" s="109"/>
      <c r="H138" s="109"/>
      <c r="I138" s="109"/>
      <c r="J138" s="75">
        <f t="shared" si="22"/>
        <v>0</v>
      </c>
      <c r="K138" s="75">
        <f t="shared" si="23"/>
        <v>12396441.9</v>
      </c>
      <c r="L138" s="109">
        <v>13078246.204500001</v>
      </c>
      <c r="M138" s="110">
        <v>13797549.745747501</v>
      </c>
      <c r="N138" s="128"/>
    </row>
    <row r="139" spans="1:14" ht="12.75" customHeight="1" x14ac:dyDescent="0.25">
      <c r="A139" s="1081" t="s">
        <v>1943</v>
      </c>
      <c r="B139" s="288"/>
      <c r="C139" s="130">
        <v>2430468</v>
      </c>
      <c r="D139" s="109"/>
      <c r="E139" s="109"/>
      <c r="F139" s="109"/>
      <c r="G139" s="109"/>
      <c r="H139" s="109"/>
      <c r="I139" s="109"/>
      <c r="J139" s="75">
        <f t="shared" si="22"/>
        <v>0</v>
      </c>
      <c r="K139" s="75">
        <f t="shared" si="23"/>
        <v>2430468</v>
      </c>
      <c r="L139" s="109">
        <v>2564143.7399999998</v>
      </c>
      <c r="M139" s="110">
        <v>2705171.6456999998</v>
      </c>
      <c r="N139" s="128"/>
    </row>
    <row r="140" spans="1:14" ht="12.75" customHeight="1" x14ac:dyDescent="0.25">
      <c r="A140" s="1081" t="s">
        <v>1944</v>
      </c>
      <c r="B140" s="288"/>
      <c r="C140" s="130">
        <v>10056545</v>
      </c>
      <c r="D140" s="109"/>
      <c r="E140" s="109"/>
      <c r="F140" s="109"/>
      <c r="G140" s="109"/>
      <c r="H140" s="109"/>
      <c r="I140" s="109">
        <f>-20000+4500000</f>
        <v>4480000</v>
      </c>
      <c r="J140" s="75">
        <f t="shared" si="22"/>
        <v>4480000</v>
      </c>
      <c r="K140" s="75">
        <f t="shared" si="23"/>
        <v>14536545</v>
      </c>
      <c r="L140" s="109">
        <v>10609654.975</v>
      </c>
      <c r="M140" s="110">
        <v>11193185.998624999</v>
      </c>
      <c r="N140" s="128"/>
    </row>
    <row r="141" spans="1:14" ht="12.75" customHeight="1" x14ac:dyDescent="0.25">
      <c r="A141" s="1081" t="s">
        <v>1945</v>
      </c>
      <c r="B141" s="288"/>
      <c r="C141" s="130">
        <v>3664036</v>
      </c>
      <c r="D141" s="109"/>
      <c r="E141" s="109"/>
      <c r="F141" s="109"/>
      <c r="G141" s="109"/>
      <c r="H141" s="109"/>
      <c r="I141" s="109"/>
      <c r="J141" s="75">
        <f t="shared" si="22"/>
        <v>0</v>
      </c>
      <c r="K141" s="75">
        <f t="shared" si="23"/>
        <v>3664036</v>
      </c>
      <c r="L141" s="109">
        <v>3865557.9800000004</v>
      </c>
      <c r="M141" s="110">
        <v>4078163.6688999999</v>
      </c>
      <c r="N141" s="128"/>
    </row>
    <row r="142" spans="1:14" ht="12.75" customHeight="1" x14ac:dyDescent="0.25">
      <c r="A142" s="1081" t="s">
        <v>1946</v>
      </c>
      <c r="B142" s="288"/>
      <c r="C142" s="130">
        <v>1386979</v>
      </c>
      <c r="D142" s="109"/>
      <c r="E142" s="109"/>
      <c r="F142" s="109"/>
      <c r="G142" s="109"/>
      <c r="H142" s="109"/>
      <c r="I142" s="109"/>
      <c r="J142" s="75">
        <f t="shared" si="22"/>
        <v>0</v>
      </c>
      <c r="K142" s="75">
        <f t="shared" si="23"/>
        <v>1386979</v>
      </c>
      <c r="L142" s="109">
        <v>1463262.845</v>
      </c>
      <c r="M142" s="110">
        <v>1543742.3014750006</v>
      </c>
      <c r="N142" s="128"/>
    </row>
    <row r="143" spans="1:14" ht="12.75" customHeight="1" x14ac:dyDescent="0.25">
      <c r="A143" s="1081" t="s">
        <v>1947</v>
      </c>
      <c r="B143" s="288"/>
      <c r="C143" s="130">
        <v>21742000</v>
      </c>
      <c r="D143" s="109"/>
      <c r="E143" s="109"/>
      <c r="F143" s="109"/>
      <c r="G143" s="109"/>
      <c r="H143" s="109"/>
      <c r="I143" s="109"/>
      <c r="J143" s="75">
        <f t="shared" si="22"/>
        <v>0</v>
      </c>
      <c r="K143" s="75">
        <f t="shared" si="23"/>
        <v>21742000</v>
      </c>
      <c r="L143" s="109">
        <v>22937810</v>
      </c>
      <c r="M143" s="110">
        <v>24199389.550000001</v>
      </c>
      <c r="N143" s="128"/>
    </row>
    <row r="144" spans="1:14" ht="12.75" customHeight="1" x14ac:dyDescent="0.25">
      <c r="A144" s="1081" t="s">
        <v>1948</v>
      </c>
      <c r="B144" s="288"/>
      <c r="C144" s="130">
        <v>7815499</v>
      </c>
      <c r="D144" s="109"/>
      <c r="E144" s="109"/>
      <c r="F144" s="109"/>
      <c r="G144" s="109"/>
      <c r="H144" s="109"/>
      <c r="I144" s="109"/>
      <c r="J144" s="75">
        <f t="shared" si="22"/>
        <v>0</v>
      </c>
      <c r="K144" s="75">
        <f t="shared" si="23"/>
        <v>7815499</v>
      </c>
      <c r="L144" s="109">
        <v>8165351.4450000003</v>
      </c>
      <c r="M144" s="110">
        <v>8624571.7744749989</v>
      </c>
      <c r="N144" s="128"/>
    </row>
    <row r="145" spans="1:14" ht="12.75" customHeight="1" x14ac:dyDescent="0.25">
      <c r="A145" s="1081" t="s">
        <v>1949</v>
      </c>
      <c r="B145" s="288"/>
      <c r="C145" s="130">
        <v>2143581</v>
      </c>
      <c r="D145" s="109"/>
      <c r="E145" s="109"/>
      <c r="F145" s="109"/>
      <c r="G145" s="109"/>
      <c r="H145" s="109"/>
      <c r="I145" s="109"/>
      <c r="J145" s="75">
        <f t="shared" si="22"/>
        <v>0</v>
      </c>
      <c r="K145" s="75">
        <f t="shared" si="23"/>
        <v>2143581</v>
      </c>
      <c r="L145" s="109">
        <v>2261477.9549999996</v>
      </c>
      <c r="M145" s="110">
        <v>2385859.2425250001</v>
      </c>
      <c r="N145" s="128"/>
    </row>
    <row r="146" spans="1:14" ht="12.75" customHeight="1" x14ac:dyDescent="0.25">
      <c r="A146" s="1081" t="s">
        <v>1950</v>
      </c>
      <c r="B146" s="288"/>
      <c r="C146" s="130">
        <v>50001</v>
      </c>
      <c r="D146" s="109"/>
      <c r="E146" s="109"/>
      <c r="F146" s="109"/>
      <c r="G146" s="109"/>
      <c r="H146" s="109"/>
      <c r="I146" s="109"/>
      <c r="J146" s="75">
        <f t="shared" si="22"/>
        <v>0</v>
      </c>
      <c r="K146" s="75">
        <f t="shared" si="23"/>
        <v>50001</v>
      </c>
      <c r="L146" s="109">
        <v>52751.055</v>
      </c>
      <c r="M146" s="110">
        <v>55652.363024999999</v>
      </c>
      <c r="N146" s="128"/>
    </row>
    <row r="147" spans="1:14" ht="12.75" customHeight="1" x14ac:dyDescent="0.25">
      <c r="A147" s="1081"/>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81"/>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81"/>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81"/>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81"/>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82"/>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82"/>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1082"/>
      <c r="B154" s="288"/>
      <c r="C154" s="130"/>
      <c r="D154" s="109"/>
      <c r="E154" s="109"/>
      <c r="F154" s="109"/>
      <c r="G154" s="109"/>
      <c r="H154" s="109"/>
      <c r="I154" s="109"/>
      <c r="J154" s="75">
        <f t="shared" si="22"/>
        <v>0</v>
      </c>
      <c r="K154" s="75">
        <f t="shared" si="23"/>
        <v>0</v>
      </c>
      <c r="L154" s="109"/>
      <c r="M154" s="110"/>
      <c r="N154" s="128"/>
    </row>
    <row r="155" spans="1:14" ht="12.75" customHeight="1" x14ac:dyDescent="0.25">
      <c r="A155" s="1082"/>
      <c r="B155" s="288"/>
      <c r="C155" s="130"/>
      <c r="D155" s="109"/>
      <c r="E155" s="109"/>
      <c r="F155" s="109"/>
      <c r="G155" s="109"/>
      <c r="H155" s="109"/>
      <c r="I155" s="109"/>
      <c r="J155" s="75">
        <f t="shared" si="22"/>
        <v>0</v>
      </c>
      <c r="K155" s="75">
        <f t="shared" si="23"/>
        <v>0</v>
      </c>
      <c r="L155" s="109"/>
      <c r="M155" s="110"/>
      <c r="N155" s="128"/>
    </row>
    <row r="156" spans="1:14" ht="12.75" customHeight="1" x14ac:dyDescent="0.25">
      <c r="A156" s="1082"/>
      <c r="B156" s="288"/>
      <c r="C156" s="130"/>
      <c r="D156" s="109"/>
      <c r="E156" s="109"/>
      <c r="F156" s="109"/>
      <c r="G156" s="109"/>
      <c r="H156" s="109"/>
      <c r="I156" s="109"/>
      <c r="J156" s="75">
        <f t="shared" si="22"/>
        <v>0</v>
      </c>
      <c r="K156" s="75">
        <f t="shared" si="23"/>
        <v>0</v>
      </c>
      <c r="L156" s="109"/>
      <c r="M156" s="110"/>
      <c r="N156" s="128"/>
    </row>
    <row r="157" spans="1:14" ht="12.75" customHeight="1" x14ac:dyDescent="0.25">
      <c r="A157" s="1082"/>
      <c r="B157" s="288"/>
      <c r="C157" s="130"/>
      <c r="D157" s="109"/>
      <c r="E157" s="109"/>
      <c r="F157" s="109"/>
      <c r="G157" s="109"/>
      <c r="H157" s="109"/>
      <c r="I157" s="109"/>
      <c r="J157" s="75">
        <f t="shared" si="22"/>
        <v>0</v>
      </c>
      <c r="K157" s="75">
        <f t="shared" si="23"/>
        <v>0</v>
      </c>
      <c r="L157" s="109"/>
      <c r="M157" s="110"/>
      <c r="N157" s="128"/>
    </row>
    <row r="158" spans="1:14" ht="12.75" customHeight="1" x14ac:dyDescent="0.25">
      <c r="A158" s="296" t="s">
        <v>1185</v>
      </c>
      <c r="B158" s="20">
        <v>1</v>
      </c>
      <c r="C158" s="157">
        <f>SUM(C131:C157)</f>
        <v>126653661.62</v>
      </c>
      <c r="D158" s="117">
        <f>SUM(D131:D157)</f>
        <v>0</v>
      </c>
      <c r="E158" s="117">
        <f>SUM(E131:E157)</f>
        <v>0</v>
      </c>
      <c r="F158" s="117">
        <f t="shared" ref="F158:M158" si="24">SUM(F131:F157)</f>
        <v>0</v>
      </c>
      <c r="G158" s="117">
        <f t="shared" si="24"/>
        <v>0</v>
      </c>
      <c r="H158" s="117">
        <f t="shared" si="24"/>
        <v>0</v>
      </c>
      <c r="I158" s="117">
        <f t="shared" si="24"/>
        <v>1827894.2799999993</v>
      </c>
      <c r="J158" s="117">
        <f t="shared" si="24"/>
        <v>1827894.2799999993</v>
      </c>
      <c r="K158" s="117">
        <f t="shared" si="24"/>
        <v>128481555.90000001</v>
      </c>
      <c r="L158" s="117">
        <f t="shared" si="24"/>
        <v>126036797.84449999</v>
      </c>
      <c r="M158" s="118">
        <f t="shared" si="24"/>
        <v>132978945.66594747</v>
      </c>
      <c r="N158" s="128"/>
    </row>
    <row r="159" spans="1:14" ht="12.75" customHeight="1" x14ac:dyDescent="0.25">
      <c r="A159" s="1055"/>
      <c r="B159" s="1089"/>
      <c r="C159" s="1088"/>
      <c r="D159" s="1088"/>
      <c r="E159" s="783"/>
      <c r="F159" s="783"/>
      <c r="G159" s="783"/>
      <c r="H159" s="783"/>
      <c r="I159" s="783"/>
      <c r="J159" s="783"/>
      <c r="K159" s="783"/>
      <c r="L159" s="783"/>
      <c r="M159" s="785"/>
      <c r="N159" s="128"/>
    </row>
    <row r="160" spans="1:14" ht="12.75" customHeight="1" x14ac:dyDescent="0.25">
      <c r="A160" s="135" t="s">
        <v>1451</v>
      </c>
      <c r="B160" s="1090">
        <v>14</v>
      </c>
      <c r="C160" s="74"/>
      <c r="D160" s="75"/>
      <c r="E160" s="75"/>
      <c r="F160" s="75"/>
      <c r="G160" s="75"/>
      <c r="H160" s="75"/>
      <c r="I160" s="75"/>
      <c r="J160" s="75"/>
      <c r="K160" s="75"/>
      <c r="L160" s="75"/>
      <c r="M160" s="76"/>
      <c r="N160" s="128"/>
    </row>
    <row r="161" spans="1:14" ht="12.75" customHeight="1" x14ac:dyDescent="0.25">
      <c r="A161" s="129" t="s">
        <v>653</v>
      </c>
      <c r="B161" s="1090"/>
      <c r="C161" s="130">
        <v>-28920340</v>
      </c>
      <c r="D161" s="109"/>
      <c r="E161" s="109"/>
      <c r="F161" s="109"/>
      <c r="G161" s="109"/>
      <c r="H161" s="109"/>
      <c r="I161" s="109"/>
      <c r="J161" s="75">
        <f>SUM(E161:I161)</f>
        <v>0</v>
      </c>
      <c r="K161" s="75">
        <f>IF(D161=0,C161+J161,D161+J161)</f>
        <v>-28920340</v>
      </c>
      <c r="L161" s="109">
        <v>-30510958.700000018</v>
      </c>
      <c r="M161" s="110">
        <v>-32189061.428499974</v>
      </c>
      <c r="N161" s="128"/>
    </row>
    <row r="162" spans="1:14" ht="12.75" customHeight="1" x14ac:dyDescent="0.25">
      <c r="A162" s="129" t="s">
        <v>656</v>
      </c>
      <c r="B162" s="1090"/>
      <c r="C162" s="130">
        <v>3499030.76</v>
      </c>
      <c r="D162" s="109"/>
      <c r="E162" s="109"/>
      <c r="F162" s="109"/>
      <c r="G162" s="109"/>
      <c r="H162" s="109"/>
      <c r="I162" s="109"/>
      <c r="J162" s="75">
        <f>SUM(E162:I162)</f>
        <v>0</v>
      </c>
      <c r="K162" s="75">
        <f>IF(D162=0,C162+J162,D162+J162)</f>
        <v>3499030.76</v>
      </c>
      <c r="L162" s="109">
        <v>3691477.4517999999</v>
      </c>
      <c r="M162" s="110">
        <v>3894508.7116489997</v>
      </c>
      <c r="N162" s="128"/>
    </row>
    <row r="163" spans="1:14" ht="12.75" customHeight="1" x14ac:dyDescent="0.25">
      <c r="A163" s="129" t="s">
        <v>1452</v>
      </c>
      <c r="B163" s="1090"/>
      <c r="C163" s="130">
        <v>48454990</v>
      </c>
      <c r="D163" s="109"/>
      <c r="E163" s="109"/>
      <c r="F163" s="109"/>
      <c r="G163" s="109"/>
      <c r="H163" s="109"/>
      <c r="I163" s="109"/>
      <c r="J163" s="75">
        <f>SUM(E163:I163)</f>
        <v>0</v>
      </c>
      <c r="K163" s="75">
        <f>IF(D163=0,C163+J163,D163+J163)</f>
        <v>48454990</v>
      </c>
      <c r="L163" s="109">
        <v>51120014.449999996</v>
      </c>
      <c r="M163" s="110">
        <v>53931615.244749993</v>
      </c>
      <c r="N163" s="128"/>
    </row>
    <row r="164" spans="1:14" ht="12.75" customHeight="1" x14ac:dyDescent="0.25">
      <c r="A164" s="129" t="s">
        <v>1453</v>
      </c>
      <c r="B164" s="1090"/>
      <c r="C164" s="130">
        <v>28146443.859999988</v>
      </c>
      <c r="D164" s="109"/>
      <c r="E164" s="109"/>
      <c r="F164" s="109"/>
      <c r="G164" s="109"/>
      <c r="H164" s="109"/>
      <c r="I164" s="109"/>
      <c r="J164" s="75">
        <f>SUM(E164:I164)</f>
        <v>0</v>
      </c>
      <c r="K164" s="75">
        <f>IF(D164=0,C164+J164,D164+J164)</f>
        <v>28146443.859999988</v>
      </c>
      <c r="L164" s="109">
        <v>29694498.272299983</v>
      </c>
      <c r="M164" s="110">
        <v>31327695.677276541</v>
      </c>
      <c r="N164" s="128"/>
    </row>
    <row r="165" spans="1:14" ht="12.75" customHeight="1" x14ac:dyDescent="0.25">
      <c r="A165" s="296" t="s">
        <v>1454</v>
      </c>
      <c r="B165" s="1091">
        <v>15</v>
      </c>
      <c r="C165" s="157">
        <f>SUM(C161:C164)</f>
        <v>51180124.61999999</v>
      </c>
      <c r="D165" s="157">
        <f t="shared" ref="D165:M165" si="25">SUM(D161:D164)</f>
        <v>0</v>
      </c>
      <c r="E165" s="157">
        <f t="shared" si="25"/>
        <v>0</v>
      </c>
      <c r="F165" s="157">
        <f t="shared" si="25"/>
        <v>0</v>
      </c>
      <c r="G165" s="157">
        <f t="shared" si="25"/>
        <v>0</v>
      </c>
      <c r="H165" s="157">
        <f t="shared" si="25"/>
        <v>0</v>
      </c>
      <c r="I165" s="157">
        <f t="shared" si="25"/>
        <v>0</v>
      </c>
      <c r="J165" s="117">
        <f t="shared" si="25"/>
        <v>0</v>
      </c>
      <c r="K165" s="117">
        <f t="shared" si="25"/>
        <v>51180124.61999999</v>
      </c>
      <c r="L165" s="117">
        <f t="shared" si="25"/>
        <v>53995031.474099964</v>
      </c>
      <c r="M165" s="118">
        <f t="shared" si="25"/>
        <v>56964758.205175564</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1190</v>
      </c>
      <c r="B167" s="93"/>
      <c r="C167" s="96"/>
      <c r="D167" s="96"/>
      <c r="E167" s="96"/>
      <c r="F167" s="96"/>
      <c r="G167" s="96"/>
      <c r="H167" s="96"/>
      <c r="I167" s="96"/>
      <c r="J167" s="96"/>
      <c r="K167" s="96"/>
      <c r="L167" s="96"/>
      <c r="M167" s="96"/>
    </row>
    <row r="168" spans="1:14" ht="12.75" customHeight="1" x14ac:dyDescent="0.25">
      <c r="A168" s="99" t="s">
        <v>1191</v>
      </c>
      <c r="B168" s="93"/>
      <c r="C168" s="96"/>
      <c r="D168" s="96"/>
      <c r="E168" s="96"/>
      <c r="F168" s="96"/>
      <c r="G168" s="96"/>
      <c r="H168" s="96"/>
      <c r="I168" s="96"/>
      <c r="J168" s="96"/>
      <c r="K168" s="96"/>
      <c r="L168" s="96"/>
      <c r="M168" s="96"/>
    </row>
    <row r="169" spans="1:14" ht="12.75" customHeight="1" x14ac:dyDescent="0.25">
      <c r="A169" s="99" t="s">
        <v>1192</v>
      </c>
      <c r="B169" s="93"/>
      <c r="C169" s="96"/>
      <c r="D169" s="96"/>
      <c r="E169" s="96"/>
      <c r="F169" s="96"/>
      <c r="G169" s="96"/>
      <c r="H169" s="96"/>
      <c r="I169" s="96"/>
      <c r="J169" s="96"/>
      <c r="K169" s="96"/>
      <c r="L169" s="96"/>
      <c r="M169" s="96"/>
    </row>
    <row r="170" spans="1:14" ht="12.75" customHeight="1" x14ac:dyDescent="0.25">
      <c r="A170" s="99" t="s">
        <v>1193</v>
      </c>
      <c r="B170" s="93"/>
      <c r="C170" s="96"/>
      <c r="D170" s="96"/>
      <c r="E170" s="96"/>
      <c r="F170" s="96"/>
      <c r="G170" s="96"/>
      <c r="H170" s="96"/>
      <c r="I170" s="96"/>
      <c r="J170" s="96"/>
      <c r="K170" s="96"/>
      <c r="L170" s="96"/>
      <c r="M170" s="96"/>
    </row>
    <row r="171" spans="1:14" ht="12.75" customHeight="1" x14ac:dyDescent="0.25">
      <c r="A171" s="99" t="s">
        <v>1194</v>
      </c>
      <c r="B171" s="93"/>
      <c r="C171" s="96"/>
      <c r="D171" s="96"/>
      <c r="E171" s="96"/>
      <c r="F171" s="96"/>
      <c r="G171" s="96"/>
      <c r="H171" s="96"/>
      <c r="I171" s="96"/>
      <c r="J171" s="96"/>
      <c r="K171" s="96"/>
      <c r="L171" s="96"/>
      <c r="M171" s="96"/>
    </row>
    <row r="172" spans="1:14" ht="12.75" customHeight="1" x14ac:dyDescent="0.25">
      <c r="A172" s="99" t="s">
        <v>163</v>
      </c>
      <c r="B172" s="99"/>
      <c r="C172" s="99"/>
      <c r="D172" s="99"/>
      <c r="E172" s="99"/>
      <c r="F172" s="99"/>
      <c r="G172" s="99"/>
      <c r="H172" s="99"/>
      <c r="I172" s="99"/>
      <c r="J172" s="99"/>
      <c r="K172" s="99"/>
      <c r="L172" s="99"/>
      <c r="M172" s="99"/>
      <c r="N172" s="54"/>
    </row>
    <row r="173" spans="1:14" ht="25.15" customHeight="1" x14ac:dyDescent="0.25">
      <c r="A173" s="1389" t="s">
        <v>1195</v>
      </c>
      <c r="B173" s="1389"/>
      <c r="C173" s="1389"/>
      <c r="D173" s="1389"/>
      <c r="E173" s="1389"/>
      <c r="F173" s="1389"/>
      <c r="G173" s="1389"/>
      <c r="H173" s="1389"/>
      <c r="I173" s="1389"/>
      <c r="J173" s="1389"/>
      <c r="K173" s="1389"/>
      <c r="L173" s="1389"/>
      <c r="M173" s="1389"/>
      <c r="N173" s="54"/>
    </row>
    <row r="174" spans="1:14" ht="12.75" customHeight="1" x14ac:dyDescent="0.25">
      <c r="A174" s="99" t="s">
        <v>1196</v>
      </c>
      <c r="B174" s="99"/>
      <c r="C174" s="99"/>
      <c r="D174" s="99"/>
      <c r="E174" s="99"/>
      <c r="F174" s="99"/>
      <c r="G174" s="99"/>
      <c r="H174" s="99"/>
      <c r="I174" s="99"/>
      <c r="J174" s="99"/>
      <c r="K174" s="99"/>
      <c r="L174" s="99"/>
      <c r="M174" s="99"/>
      <c r="N174" s="54"/>
    </row>
    <row r="175" spans="1:14" ht="12.75" customHeight="1" x14ac:dyDescent="0.25">
      <c r="A175" s="99" t="s">
        <v>1197</v>
      </c>
      <c r="B175" s="99"/>
      <c r="C175" s="99"/>
      <c r="D175" s="99"/>
      <c r="E175" s="99"/>
      <c r="F175" s="99"/>
      <c r="G175" s="99"/>
      <c r="H175" s="99"/>
      <c r="I175" s="99"/>
      <c r="J175" s="99"/>
      <c r="K175" s="99"/>
      <c r="L175" s="99"/>
      <c r="M175" s="99"/>
      <c r="N175" s="54"/>
    </row>
    <row r="176" spans="1:14" ht="12.75" customHeight="1" x14ac:dyDescent="0.25">
      <c r="A176" s="99" t="s">
        <v>1198</v>
      </c>
      <c r="B176" s="93"/>
      <c r="C176" s="96"/>
      <c r="D176" s="96"/>
      <c r="E176" s="96"/>
      <c r="F176" s="96"/>
      <c r="G176" s="96"/>
      <c r="H176" s="96"/>
      <c r="I176" s="96"/>
      <c r="J176" s="96"/>
      <c r="K176" s="96"/>
      <c r="L176" s="96"/>
      <c r="M176" s="96"/>
      <c r="N176" s="53"/>
    </row>
    <row r="177" spans="1:14" ht="27" customHeight="1" x14ac:dyDescent="0.25">
      <c r="A177" s="1389" t="s">
        <v>1207</v>
      </c>
      <c r="B177" s="1389"/>
      <c r="C177" s="1389"/>
      <c r="D177" s="1389"/>
      <c r="E177" s="1389"/>
      <c r="F177" s="1389"/>
      <c r="G177" s="1389"/>
      <c r="H177" s="1389"/>
      <c r="I177" s="1389"/>
      <c r="J177" s="1389"/>
      <c r="K177" s="1389"/>
      <c r="L177" s="1389"/>
      <c r="M177" s="1389"/>
      <c r="N177" s="53"/>
    </row>
    <row r="178" spans="1:14" ht="12.75" customHeight="1" x14ac:dyDescent="0.25">
      <c r="A178" s="99" t="s">
        <v>1208</v>
      </c>
      <c r="B178" s="93"/>
      <c r="C178" s="96"/>
      <c r="D178" s="96"/>
      <c r="E178" s="96"/>
      <c r="F178" s="96"/>
      <c r="G178" s="96"/>
      <c r="H178" s="96"/>
      <c r="I178" s="96"/>
      <c r="J178" s="96"/>
      <c r="K178" s="96"/>
      <c r="L178" s="96"/>
      <c r="M178" s="96"/>
      <c r="N178" s="53"/>
    </row>
    <row r="179" spans="1:14" ht="12.75" customHeight="1" x14ac:dyDescent="0.25">
      <c r="A179" s="99" t="s">
        <v>1209</v>
      </c>
      <c r="B179" s="100"/>
      <c r="C179" s="100"/>
      <c r="D179" s="100"/>
      <c r="E179" s="100"/>
      <c r="F179" s="100"/>
      <c r="G179" s="100"/>
      <c r="H179" s="100"/>
      <c r="I179" s="100"/>
      <c r="J179" s="100"/>
      <c r="K179" s="100"/>
      <c r="L179" s="100"/>
      <c r="M179" s="100"/>
      <c r="N179" s="54"/>
    </row>
    <row r="180" spans="1:14" ht="11.25" customHeight="1" x14ac:dyDescent="0.25">
      <c r="A180" s="1092" t="s">
        <v>1455</v>
      </c>
      <c r="B180" s="5"/>
    </row>
    <row r="181" spans="1:14" ht="11.25" customHeight="1" x14ac:dyDescent="0.25">
      <c r="A181" s="5" t="s">
        <v>1456</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4" type="noConversion"/>
  <printOptions horizontalCentered="1"/>
  <pageMargins left="0.35" right="0.14000000000000001" top="0.77" bottom="0.6" header="0.51181102362204722" footer="0.51"/>
  <pageSetup paperSize="9" scale="75" orientation="portrait"/>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74" activePane="bottomRight" state="frozen"/>
      <selection activeCell="C6" sqref="C6"/>
      <selection pane="topRight" activeCell="C6" sqref="C6"/>
      <selection pane="bottomLeft" activeCell="C6" sqref="C6"/>
      <selection pane="bottomRight" activeCell="M50" sqref="M50"/>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LIM333 Greater Tzaneen - Supporting Table SB2 Supporting detail to 'Financial Position Budget' - 27/02/2019</v>
      </c>
      <c r="B1" s="5"/>
      <c r="C1" s="58"/>
    </row>
    <row r="2" spans="1:14"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4</v>
      </c>
      <c r="E4" s="15">
        <v>5</v>
      </c>
      <c r="F4" s="15">
        <v>6</v>
      </c>
      <c r="G4" s="15">
        <v>7</v>
      </c>
      <c r="H4" s="15">
        <v>8</v>
      </c>
      <c r="I4" s="15">
        <v>9</v>
      </c>
      <c r="J4" s="15">
        <v>10</v>
      </c>
      <c r="K4" s="15">
        <v>11</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x14ac:dyDescent="0.25">
      <c r="A6" s="297" t="s">
        <v>676</v>
      </c>
      <c r="B6" s="298"/>
      <c r="C6" s="299"/>
      <c r="D6" s="288"/>
      <c r="E6" s="288"/>
      <c r="F6" s="300"/>
      <c r="G6" s="300"/>
      <c r="H6" s="300"/>
      <c r="I6" s="301"/>
      <c r="J6" s="301"/>
      <c r="K6" s="301"/>
      <c r="L6" s="301"/>
      <c r="M6" s="302"/>
      <c r="N6" s="128"/>
    </row>
    <row r="7" spans="1:14" ht="12.75" customHeight="1" x14ac:dyDescent="0.25">
      <c r="A7" s="126" t="s">
        <v>694</v>
      </c>
      <c r="B7" s="73"/>
      <c r="C7" s="74"/>
      <c r="D7" s="75"/>
      <c r="E7" s="75"/>
      <c r="F7" s="75"/>
      <c r="G7" s="75"/>
      <c r="H7" s="75"/>
      <c r="I7" s="75"/>
      <c r="J7" s="75"/>
      <c r="K7" s="75"/>
      <c r="L7" s="75"/>
      <c r="M7" s="76"/>
      <c r="N7" s="128"/>
    </row>
    <row r="8" spans="1:14" ht="12.75" customHeight="1" x14ac:dyDescent="0.25">
      <c r="A8" s="129" t="s">
        <v>1587</v>
      </c>
      <c r="B8" s="73"/>
      <c r="C8" s="130"/>
      <c r="D8" s="109"/>
      <c r="E8" s="109"/>
      <c r="F8" s="109"/>
      <c r="G8" s="109"/>
      <c r="H8" s="109"/>
      <c r="I8" s="109"/>
      <c r="J8" s="75">
        <f>SUM(E8:I8)</f>
        <v>0</v>
      </c>
      <c r="K8" s="75">
        <f>IF(D8=0,C8+J8,D8+J8)</f>
        <v>0</v>
      </c>
      <c r="L8" s="109"/>
      <c r="M8" s="110"/>
      <c r="N8" s="128"/>
    </row>
    <row r="9" spans="1:14" ht="12.75" customHeight="1" x14ac:dyDescent="0.25">
      <c r="A9" s="129" t="s">
        <v>1588</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5">
      <c r="A11" s="126" t="s">
        <v>695</v>
      </c>
      <c r="B11" s="73"/>
      <c r="C11" s="74"/>
      <c r="D11" s="75"/>
      <c r="E11" s="75"/>
      <c r="F11" s="75"/>
      <c r="G11" s="75"/>
      <c r="H11" s="75"/>
      <c r="I11" s="75"/>
      <c r="J11" s="75"/>
      <c r="K11" s="75"/>
      <c r="L11" s="75"/>
      <c r="M11" s="76"/>
      <c r="N11" s="128"/>
    </row>
    <row r="12" spans="1:14" ht="12.75" customHeight="1" x14ac:dyDescent="0.25">
      <c r="A12" s="129" t="str">
        <f>A11</f>
        <v>Consumer debtors</v>
      </c>
      <c r="B12" s="73"/>
      <c r="C12" s="130">
        <v>384924379.84060001</v>
      </c>
      <c r="D12" s="109"/>
      <c r="E12" s="109"/>
      <c r="F12" s="109"/>
      <c r="G12" s="109"/>
      <c r="H12" s="109"/>
      <c r="I12" s="109"/>
      <c r="J12" s="75">
        <f>SUM(E12:I12)</f>
        <v>0</v>
      </c>
      <c r="K12" s="75">
        <f>IF(D12=0,C12+J12,D12+J12)</f>
        <v>384924379.84060001</v>
      </c>
      <c r="L12" s="109">
        <v>395145316.88300604</v>
      </c>
      <c r="M12" s="110">
        <v>405787047.95803607</v>
      </c>
      <c r="N12" s="128"/>
    </row>
    <row r="13" spans="1:14" ht="12.75" customHeight="1" x14ac:dyDescent="0.25">
      <c r="A13" s="129" t="s">
        <v>1210</v>
      </c>
      <c r="B13" s="73"/>
      <c r="C13" s="74">
        <f t="shared" ref="C13:I13" si="1">C19</f>
        <v>275737845</v>
      </c>
      <c r="D13" s="75">
        <f t="shared" si="1"/>
        <v>0</v>
      </c>
      <c r="E13" s="75">
        <f t="shared" si="1"/>
        <v>0</v>
      </c>
      <c r="F13" s="75">
        <f t="shared" si="1"/>
        <v>0</v>
      </c>
      <c r="G13" s="75">
        <f t="shared" si="1"/>
        <v>0</v>
      </c>
      <c r="H13" s="75">
        <f t="shared" si="1"/>
        <v>0</v>
      </c>
      <c r="I13" s="75">
        <f t="shared" si="1"/>
        <v>0</v>
      </c>
      <c r="J13" s="75">
        <f>SUM(E13:I13)</f>
        <v>0</v>
      </c>
      <c r="K13" s="75">
        <f>IF(D13=0,C13+J13,D13+J13)</f>
        <v>275737845</v>
      </c>
      <c r="L13" s="75">
        <f>L19</f>
        <v>284866916</v>
      </c>
      <c r="M13" s="76">
        <f>M19</f>
        <v>294405864</v>
      </c>
      <c r="N13" s="128"/>
    </row>
    <row r="14" spans="1:14" ht="12.75" customHeight="1" x14ac:dyDescent="0.25">
      <c r="A14" s="139" t="str">
        <f>"Total "&amp;A11</f>
        <v>Total Consumer debtors</v>
      </c>
      <c r="B14" s="73">
        <v>1</v>
      </c>
      <c r="C14" s="303">
        <f>C12-C13</f>
        <v>109186534.84060001</v>
      </c>
      <c r="D14" s="151">
        <f t="shared" ref="D14:M14" si="2">D12-D13</f>
        <v>0</v>
      </c>
      <c r="E14" s="151">
        <f t="shared" si="2"/>
        <v>0</v>
      </c>
      <c r="F14" s="151">
        <f t="shared" si="2"/>
        <v>0</v>
      </c>
      <c r="G14" s="151">
        <f t="shared" si="2"/>
        <v>0</v>
      </c>
      <c r="H14" s="151">
        <f t="shared" si="2"/>
        <v>0</v>
      </c>
      <c r="I14" s="151">
        <f t="shared" si="2"/>
        <v>0</v>
      </c>
      <c r="J14" s="151">
        <f t="shared" si="2"/>
        <v>0</v>
      </c>
      <c r="K14" s="151">
        <f t="shared" si="2"/>
        <v>109186534.84060001</v>
      </c>
      <c r="L14" s="151">
        <f t="shared" si="2"/>
        <v>110278400.88300604</v>
      </c>
      <c r="M14" s="152">
        <f t="shared" si="2"/>
        <v>111381183.95803607</v>
      </c>
      <c r="N14" s="128"/>
    </row>
    <row r="15" spans="1:14" ht="12.75" customHeight="1" x14ac:dyDescent="0.25">
      <c r="A15" s="126" t="s">
        <v>1211</v>
      </c>
      <c r="B15" s="73"/>
      <c r="C15" s="74"/>
      <c r="D15" s="75"/>
      <c r="E15" s="75"/>
      <c r="F15" s="75"/>
      <c r="G15" s="75"/>
      <c r="H15" s="75"/>
      <c r="I15" s="75"/>
      <c r="J15" s="75"/>
      <c r="K15" s="75"/>
      <c r="L15" s="75"/>
      <c r="M15" s="76"/>
      <c r="N15" s="128"/>
    </row>
    <row r="16" spans="1:14" ht="12.75" customHeight="1" x14ac:dyDescent="0.25">
      <c r="A16" s="129" t="s">
        <v>1212</v>
      </c>
      <c r="B16" s="73"/>
      <c r="C16" s="130">
        <v>266999570</v>
      </c>
      <c r="D16" s="109"/>
      <c r="E16" s="109"/>
      <c r="F16" s="109"/>
      <c r="G16" s="109"/>
      <c r="H16" s="109"/>
      <c r="I16" s="109"/>
      <c r="J16" s="75">
        <f>SUM(E16:I16)</f>
        <v>0</v>
      </c>
      <c r="K16" s="75">
        <f>IF(D16=0,C16+J16,D16+J16)</f>
        <v>266999570</v>
      </c>
      <c r="L16" s="75">
        <f>IF(SUM(L17:L18)=0,0,K19)</f>
        <v>275737845</v>
      </c>
      <c r="M16" s="76">
        <f>IF(SUM(M17:M18)=0,0,L19)</f>
        <v>284866916</v>
      </c>
      <c r="N16" s="128"/>
    </row>
    <row r="17" spans="1:14" ht="12.75" customHeight="1" x14ac:dyDescent="0.25">
      <c r="A17" s="129" t="s">
        <v>1213</v>
      </c>
      <c r="B17" s="73"/>
      <c r="C17" s="130">
        <v>8738275</v>
      </c>
      <c r="D17" s="109"/>
      <c r="E17" s="109"/>
      <c r="F17" s="109"/>
      <c r="G17" s="109"/>
      <c r="H17" s="109"/>
      <c r="I17" s="109"/>
      <c r="J17" s="75">
        <f>SUM(E17:I17)</f>
        <v>0</v>
      </c>
      <c r="K17" s="75">
        <f>IF(D17=0,C17+J17,D17+J17)</f>
        <v>8738275</v>
      </c>
      <c r="L17" s="109">
        <v>9129071</v>
      </c>
      <c r="M17" s="110">
        <v>9538948</v>
      </c>
      <c r="N17" s="128"/>
    </row>
    <row r="18" spans="1:14" ht="12.75" customHeight="1" x14ac:dyDescent="0.25">
      <c r="A18" s="129" t="s">
        <v>1214</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1215</v>
      </c>
      <c r="B19" s="73"/>
      <c r="C19" s="303">
        <f t="shared" ref="C19:I19" si="3">SUM(C16:C18)</f>
        <v>275737845</v>
      </c>
      <c r="D19" s="151">
        <f t="shared" si="3"/>
        <v>0</v>
      </c>
      <c r="E19" s="151">
        <f t="shared" si="3"/>
        <v>0</v>
      </c>
      <c r="F19" s="151">
        <f t="shared" si="3"/>
        <v>0</v>
      </c>
      <c r="G19" s="151">
        <f t="shared" si="3"/>
        <v>0</v>
      </c>
      <c r="H19" s="151">
        <f t="shared" si="3"/>
        <v>0</v>
      </c>
      <c r="I19" s="151">
        <f t="shared" si="3"/>
        <v>0</v>
      </c>
      <c r="J19" s="151">
        <f>J13</f>
        <v>0</v>
      </c>
      <c r="K19" s="151">
        <f>K13</f>
        <v>275737845</v>
      </c>
      <c r="L19" s="151">
        <f>SUM(L16:L18)</f>
        <v>284866916</v>
      </c>
      <c r="M19" s="152">
        <f>SUM(M16:M18)</f>
        <v>294405864</v>
      </c>
      <c r="N19" s="128"/>
    </row>
    <row r="20" spans="1:14" ht="12.75" customHeight="1" x14ac:dyDescent="0.25">
      <c r="A20" s="126" t="s">
        <v>1216</v>
      </c>
      <c r="B20" s="73"/>
      <c r="C20" s="74"/>
      <c r="D20" s="75"/>
      <c r="E20" s="75"/>
      <c r="F20" s="75"/>
      <c r="G20" s="75"/>
      <c r="H20" s="75"/>
      <c r="I20" s="75"/>
      <c r="J20" s="75"/>
      <c r="K20" s="75"/>
      <c r="L20" s="75"/>
      <c r="M20" s="76"/>
      <c r="N20" s="128"/>
    </row>
    <row r="21" spans="1:14" ht="12.75" customHeight="1" x14ac:dyDescent="0.25">
      <c r="A21" s="30" t="s">
        <v>1217</v>
      </c>
      <c r="B21" s="73"/>
      <c r="C21" s="130">
        <v>1768059957</v>
      </c>
      <c r="D21" s="109"/>
      <c r="E21" s="109"/>
      <c r="F21" s="109"/>
      <c r="G21" s="109"/>
      <c r="H21" s="109"/>
      <c r="I21" s="109">
        <v>-50000000</v>
      </c>
      <c r="J21" s="75">
        <f>SUM(E21:I21)</f>
        <v>-50000000</v>
      </c>
      <c r="K21" s="75">
        <f>IF(D21=0,C21+J21,D21+J21)</f>
        <v>1718059957</v>
      </c>
      <c r="L21" s="109">
        <v>1811442228</v>
      </c>
      <c r="M21" s="110">
        <v>1854698228</v>
      </c>
      <c r="N21" s="128"/>
    </row>
    <row r="22" spans="1:14" ht="12.75" customHeight="1" x14ac:dyDescent="0.25">
      <c r="A22" s="30" t="s">
        <v>1218</v>
      </c>
      <c r="B22" s="73">
        <v>2</v>
      </c>
      <c r="C22" s="130"/>
      <c r="D22" s="109"/>
      <c r="E22" s="109"/>
      <c r="F22" s="109"/>
      <c r="G22" s="109"/>
      <c r="H22" s="109"/>
      <c r="I22" s="109"/>
      <c r="J22" s="75">
        <f>SUM(E22:I22)</f>
        <v>0</v>
      </c>
      <c r="K22" s="75">
        <f>IF(D22=0,C22+J22,D22+J22)</f>
        <v>0</v>
      </c>
      <c r="L22" s="109"/>
      <c r="M22" s="110"/>
      <c r="N22" s="128"/>
    </row>
    <row r="23" spans="1:14" ht="12.75" customHeight="1" x14ac:dyDescent="0.25">
      <c r="A23" s="834" t="s">
        <v>1219</v>
      </c>
      <c r="B23" s="73"/>
      <c r="C23" s="130"/>
      <c r="D23" s="109"/>
      <c r="E23" s="109"/>
      <c r="F23" s="109"/>
      <c r="G23" s="109"/>
      <c r="H23" s="109"/>
      <c r="I23" s="109"/>
      <c r="J23" s="75">
        <f>SUM(E23:I23)</f>
        <v>0</v>
      </c>
      <c r="K23" s="75">
        <f>IF(D23=0,C23+J23,D23+J23)</f>
        <v>0</v>
      </c>
      <c r="L23" s="109"/>
      <c r="M23" s="110"/>
      <c r="N23" s="128"/>
    </row>
    <row r="24" spans="1:14" ht="12.75" customHeight="1" x14ac:dyDescent="0.25">
      <c r="A24" s="304" t="str">
        <f>"Total "&amp;A20</f>
        <v>Total Property, plant &amp; equipment</v>
      </c>
      <c r="B24" s="154">
        <v>1</v>
      </c>
      <c r="C24" s="80">
        <f>SUM(C21:C22)-C23</f>
        <v>1768059957</v>
      </c>
      <c r="D24" s="81">
        <f t="shared" ref="D24:K24" si="4">SUM(D21:D22)-D23</f>
        <v>0</v>
      </c>
      <c r="E24" s="81">
        <f t="shared" si="4"/>
        <v>0</v>
      </c>
      <c r="F24" s="81">
        <f t="shared" si="4"/>
        <v>0</v>
      </c>
      <c r="G24" s="81">
        <f t="shared" si="4"/>
        <v>0</v>
      </c>
      <c r="H24" s="81">
        <f t="shared" si="4"/>
        <v>0</v>
      </c>
      <c r="I24" s="81">
        <f t="shared" si="4"/>
        <v>-50000000</v>
      </c>
      <c r="J24" s="81">
        <f t="shared" si="4"/>
        <v>-50000000</v>
      </c>
      <c r="K24" s="81">
        <f t="shared" si="4"/>
        <v>1718059957</v>
      </c>
      <c r="L24" s="81">
        <f>SUM(L21:L22)-L23</f>
        <v>1811442228</v>
      </c>
      <c r="M24" s="82">
        <f>SUM(M21:M22)-M23</f>
        <v>1854698228</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709</v>
      </c>
      <c r="B26" s="73"/>
      <c r="C26" s="140"/>
      <c r="D26" s="141"/>
      <c r="E26" s="141"/>
      <c r="F26" s="141"/>
      <c r="G26" s="141"/>
      <c r="H26" s="141"/>
      <c r="I26" s="141"/>
      <c r="J26" s="141"/>
      <c r="K26" s="141"/>
      <c r="L26" s="141"/>
      <c r="M26" s="142"/>
      <c r="N26" s="128"/>
    </row>
    <row r="27" spans="1:14" ht="12.75" customHeight="1" x14ac:dyDescent="0.25">
      <c r="A27" s="126" t="s">
        <v>1220</v>
      </c>
      <c r="B27" s="73"/>
      <c r="C27" s="74"/>
      <c r="D27" s="75"/>
      <c r="E27" s="75"/>
      <c r="F27" s="75"/>
      <c r="G27" s="75"/>
      <c r="H27" s="75"/>
      <c r="I27" s="75"/>
      <c r="J27" s="75"/>
      <c r="K27" s="75"/>
      <c r="L27" s="75"/>
      <c r="M27" s="76"/>
      <c r="N27" s="128"/>
    </row>
    <row r="28" spans="1:14" ht="12.75" customHeight="1" x14ac:dyDescent="0.25">
      <c r="A28" s="129" t="s">
        <v>1221</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1222</v>
      </c>
      <c r="B29" s="73"/>
      <c r="C29" s="130">
        <v>10766611.323475</v>
      </c>
      <c r="D29" s="109"/>
      <c r="E29" s="109"/>
      <c r="F29" s="109"/>
      <c r="G29" s="109"/>
      <c r="H29" s="109"/>
      <c r="I29" s="109"/>
      <c r="J29" s="75">
        <f>SUM(E29:I29)</f>
        <v>0</v>
      </c>
      <c r="K29" s="75">
        <f>IF(D29=0,C29+J29,D29+J29)</f>
        <v>10766611.323475</v>
      </c>
      <c r="L29" s="109">
        <v>12414838.600049125</v>
      </c>
      <c r="M29" s="110">
        <v>16483677.855348431</v>
      </c>
      <c r="N29" s="128"/>
    </row>
    <row r="30" spans="1:14" ht="12.75" customHeight="1" x14ac:dyDescent="0.25">
      <c r="A30" s="139" t="str">
        <f>"Total "&amp;A27</f>
        <v>Total Current liabilities - Borrowing</v>
      </c>
      <c r="B30" s="73"/>
      <c r="C30" s="303">
        <f t="shared" ref="C30:M30" si="5">SUM(C28:C29)</f>
        <v>10766611.323475</v>
      </c>
      <c r="D30" s="151">
        <f t="shared" si="5"/>
        <v>0</v>
      </c>
      <c r="E30" s="151">
        <f t="shared" si="5"/>
        <v>0</v>
      </c>
      <c r="F30" s="151">
        <f t="shared" si="5"/>
        <v>0</v>
      </c>
      <c r="G30" s="151">
        <f t="shared" si="5"/>
        <v>0</v>
      </c>
      <c r="H30" s="151">
        <f t="shared" si="5"/>
        <v>0</v>
      </c>
      <c r="I30" s="151">
        <f t="shared" si="5"/>
        <v>0</v>
      </c>
      <c r="J30" s="151">
        <f t="shared" si="5"/>
        <v>0</v>
      </c>
      <c r="K30" s="151">
        <f t="shared" si="5"/>
        <v>10766611.323475</v>
      </c>
      <c r="L30" s="151">
        <f t="shared" si="5"/>
        <v>12414838.600049125</v>
      </c>
      <c r="M30" s="152">
        <f t="shared" si="5"/>
        <v>16483677.855348431</v>
      </c>
      <c r="N30" s="128"/>
    </row>
    <row r="31" spans="1:14" ht="12.75" customHeight="1" x14ac:dyDescent="0.25">
      <c r="A31" s="126" t="s">
        <v>713</v>
      </c>
      <c r="B31" s="73"/>
      <c r="C31" s="74"/>
      <c r="D31" s="75"/>
      <c r="E31" s="75"/>
      <c r="F31" s="75"/>
      <c r="G31" s="75"/>
      <c r="H31" s="75"/>
      <c r="I31" s="75"/>
      <c r="J31" s="75"/>
      <c r="K31" s="75"/>
      <c r="L31" s="75"/>
      <c r="M31" s="76"/>
      <c r="N31" s="128"/>
    </row>
    <row r="32" spans="1:14" ht="12.75" customHeight="1" x14ac:dyDescent="0.25">
      <c r="A32" s="30" t="s">
        <v>1817</v>
      </c>
      <c r="B32" s="73">
        <v>12</v>
      </c>
      <c r="C32" s="130">
        <v>177604332</v>
      </c>
      <c r="D32" s="109"/>
      <c r="E32" s="109"/>
      <c r="F32" s="109"/>
      <c r="G32" s="109"/>
      <c r="H32" s="109"/>
      <c r="I32" s="109"/>
      <c r="J32" s="75">
        <f>SUM(E32:I32)</f>
        <v>0</v>
      </c>
      <c r="K32" s="75">
        <f>IF(D32=0,C32+J32,D32+J32)</f>
        <v>177604332</v>
      </c>
      <c r="L32" s="109">
        <v>175845118</v>
      </c>
      <c r="M32" s="110">
        <v>174103497</v>
      </c>
      <c r="N32" s="128"/>
    </row>
    <row r="33" spans="1:14" ht="12.75" customHeight="1" x14ac:dyDescent="0.25">
      <c r="A33" s="30" t="s">
        <v>1818</v>
      </c>
      <c r="B33" s="73"/>
      <c r="C33" s="130">
        <v>0</v>
      </c>
      <c r="D33" s="109"/>
      <c r="E33" s="109"/>
      <c r="F33" s="109"/>
      <c r="G33" s="109"/>
      <c r="H33" s="109"/>
      <c r="I33" s="109"/>
      <c r="J33" s="75">
        <f>SUM(E33:I33)</f>
        <v>0</v>
      </c>
      <c r="K33" s="75">
        <f>IF(D33=0,C33+J33,D33+J33)</f>
        <v>0</v>
      </c>
      <c r="L33" s="109"/>
      <c r="M33" s="110"/>
      <c r="N33" s="128"/>
    </row>
    <row r="34" spans="1:14" ht="12.75" customHeight="1" x14ac:dyDescent="0.25">
      <c r="A34" s="30" t="s">
        <v>1223</v>
      </c>
      <c r="B34" s="73"/>
      <c r="C34" s="130">
        <v>1415052</v>
      </c>
      <c r="D34" s="109"/>
      <c r="E34" s="109"/>
      <c r="F34" s="109"/>
      <c r="G34" s="109"/>
      <c r="H34" s="109"/>
      <c r="I34" s="109"/>
      <c r="J34" s="75">
        <f>SUM(E34:I34)</f>
        <v>0</v>
      </c>
      <c r="K34" s="75">
        <f>IF(D34=0,C34+J34,D34+J34)</f>
        <v>1415052</v>
      </c>
      <c r="L34" s="109">
        <v>1415052</v>
      </c>
      <c r="M34" s="110">
        <v>1415052</v>
      </c>
      <c r="N34" s="128"/>
    </row>
    <row r="35" spans="1:14" ht="12.75" customHeight="1" x14ac:dyDescent="0.25">
      <c r="A35" s="30" t="s">
        <v>1224</v>
      </c>
      <c r="B35" s="73"/>
      <c r="C35" s="130">
        <v>34473368.930400006</v>
      </c>
      <c r="D35" s="109"/>
      <c r="E35" s="109"/>
      <c r="F35" s="109"/>
      <c r="G35" s="109"/>
      <c r="H35" s="109"/>
      <c r="I35" s="109"/>
      <c r="J35" s="75">
        <f>SUM(E35:I35)</f>
        <v>0</v>
      </c>
      <c r="K35" s="75">
        <f>IF(D35=0,C35+J35,D35+J35)</f>
        <v>34473368.930400006</v>
      </c>
      <c r="L35" s="109">
        <v>35162836.30900801</v>
      </c>
      <c r="M35" s="110">
        <v>35866093.035188168</v>
      </c>
      <c r="N35" s="128"/>
    </row>
    <row r="36" spans="1:14" ht="12.75" customHeight="1" x14ac:dyDescent="0.25">
      <c r="A36" s="139" t="str">
        <f>"Total "&amp;A31</f>
        <v>Total Trade and other payables</v>
      </c>
      <c r="B36" s="73">
        <v>1</v>
      </c>
      <c r="C36" s="303">
        <f>SUM(C32:C35)</f>
        <v>213492752.93040001</v>
      </c>
      <c r="D36" s="151">
        <f t="shared" ref="D36:M36" si="6">SUM(D32:D35)</f>
        <v>0</v>
      </c>
      <c r="E36" s="151">
        <f t="shared" si="6"/>
        <v>0</v>
      </c>
      <c r="F36" s="151">
        <f t="shared" si="6"/>
        <v>0</v>
      </c>
      <c r="G36" s="151">
        <f t="shared" si="6"/>
        <v>0</v>
      </c>
      <c r="H36" s="151">
        <f t="shared" si="6"/>
        <v>0</v>
      </c>
      <c r="I36" s="151">
        <f t="shared" si="6"/>
        <v>0</v>
      </c>
      <c r="J36" s="151">
        <f t="shared" si="6"/>
        <v>0</v>
      </c>
      <c r="K36" s="151">
        <f t="shared" si="6"/>
        <v>213492752.93040001</v>
      </c>
      <c r="L36" s="151">
        <f t="shared" si="6"/>
        <v>212423006.309008</v>
      </c>
      <c r="M36" s="152">
        <f t="shared" si="6"/>
        <v>211384642.03518817</v>
      </c>
      <c r="N36" s="128"/>
    </row>
    <row r="37" spans="1:14" ht="12.75" customHeight="1" x14ac:dyDescent="0.25">
      <c r="A37" s="126" t="s">
        <v>1225</v>
      </c>
      <c r="B37" s="73"/>
      <c r="C37" s="74"/>
      <c r="D37" s="75"/>
      <c r="E37" s="75"/>
      <c r="F37" s="75"/>
      <c r="G37" s="75"/>
      <c r="H37" s="75"/>
      <c r="I37" s="75"/>
      <c r="J37" s="75"/>
      <c r="K37" s="75"/>
      <c r="L37" s="75"/>
      <c r="M37" s="76"/>
      <c r="N37" s="128"/>
    </row>
    <row r="38" spans="1:14" ht="12.75" customHeight="1" x14ac:dyDescent="0.25">
      <c r="A38" s="129" t="s">
        <v>578</v>
      </c>
      <c r="B38" s="73">
        <v>3</v>
      </c>
      <c r="C38" s="130">
        <v>172594015.74652499</v>
      </c>
      <c r="D38" s="109"/>
      <c r="E38" s="109"/>
      <c r="F38" s="109"/>
      <c r="G38" s="109"/>
      <c r="H38" s="109"/>
      <c r="I38" s="109">
        <v>-50000000</v>
      </c>
      <c r="J38" s="75">
        <f>SUM(E38:I38)</f>
        <v>-50000000</v>
      </c>
      <c r="K38" s="75">
        <f>IF(D38=0,C38+J38,D38+J38)</f>
        <v>122594015.74652499</v>
      </c>
      <c r="L38" s="109">
        <v>192161951.59147584</v>
      </c>
      <c r="M38" s="110">
        <v>205678273.73612744</v>
      </c>
      <c r="N38" s="128"/>
    </row>
    <row r="39" spans="1:14" ht="12.75" customHeight="1" x14ac:dyDescent="0.25">
      <c r="A39" s="129" t="s">
        <v>1226</v>
      </c>
      <c r="B39" s="73"/>
      <c r="C39" s="130">
        <v>14634000</v>
      </c>
      <c r="D39" s="109"/>
      <c r="E39" s="109"/>
      <c r="F39" s="109"/>
      <c r="G39" s="109"/>
      <c r="H39" s="109"/>
      <c r="I39" s="109"/>
      <c r="J39" s="75">
        <f>SUM(E39:I39)</f>
        <v>0</v>
      </c>
      <c r="K39" s="75">
        <f>IF(D39=0,C39+J39,D39+J39)</f>
        <v>14634000</v>
      </c>
      <c r="L39" s="109">
        <v>12951000</v>
      </c>
      <c r="M39" s="110">
        <v>11268000</v>
      </c>
      <c r="N39" s="128"/>
    </row>
    <row r="40" spans="1:14" ht="12.75" customHeight="1" x14ac:dyDescent="0.25">
      <c r="A40" s="139" t="str">
        <f>"Total "&amp;A37</f>
        <v>Total Non current liabilities - Borrowing</v>
      </c>
      <c r="B40" s="73"/>
      <c r="C40" s="303">
        <f t="shared" ref="C40:M40" si="7">SUM(C38:C39)</f>
        <v>187228015.74652499</v>
      </c>
      <c r="D40" s="151">
        <f t="shared" si="7"/>
        <v>0</v>
      </c>
      <c r="E40" s="151">
        <f t="shared" si="7"/>
        <v>0</v>
      </c>
      <c r="F40" s="151">
        <f t="shared" si="7"/>
        <v>0</v>
      </c>
      <c r="G40" s="151">
        <f t="shared" si="7"/>
        <v>0</v>
      </c>
      <c r="H40" s="151">
        <f t="shared" si="7"/>
        <v>0</v>
      </c>
      <c r="I40" s="151">
        <f t="shared" si="7"/>
        <v>-50000000</v>
      </c>
      <c r="J40" s="151">
        <f t="shared" si="7"/>
        <v>-50000000</v>
      </c>
      <c r="K40" s="151">
        <f t="shared" si="7"/>
        <v>137228015.74652499</v>
      </c>
      <c r="L40" s="151">
        <f t="shared" si="7"/>
        <v>205112951.59147584</v>
      </c>
      <c r="M40" s="152">
        <f t="shared" si="7"/>
        <v>216946273.73612744</v>
      </c>
      <c r="N40" s="128"/>
    </row>
    <row r="41" spans="1:14" ht="12.75" customHeight="1" x14ac:dyDescent="0.25">
      <c r="A41" s="126" t="s">
        <v>1227</v>
      </c>
      <c r="B41" s="73"/>
      <c r="C41" s="74"/>
      <c r="D41" s="75"/>
      <c r="E41" s="75"/>
      <c r="F41" s="75"/>
      <c r="G41" s="75"/>
      <c r="H41" s="75"/>
      <c r="I41" s="75"/>
      <c r="J41" s="75"/>
      <c r="K41" s="75"/>
      <c r="L41" s="75"/>
      <c r="M41" s="76"/>
      <c r="N41" s="128"/>
    </row>
    <row r="42" spans="1:14" ht="12.75" customHeight="1" x14ac:dyDescent="0.25">
      <c r="A42" s="129" t="s">
        <v>1228</v>
      </c>
      <c r="B42" s="73"/>
      <c r="C42" s="130">
        <v>80653144.393800005</v>
      </c>
      <c r="D42" s="109"/>
      <c r="E42" s="109"/>
      <c r="F42" s="109"/>
      <c r="G42" s="109"/>
      <c r="H42" s="109"/>
      <c r="I42" s="109"/>
      <c r="J42" s="75">
        <f>SUM(E42:I42)</f>
        <v>0</v>
      </c>
      <c r="K42" s="75">
        <f>IF(D42=0,C42+J42,D42+J42)</f>
        <v>80653144.393800005</v>
      </c>
      <c r="L42" s="109">
        <v>78705179.753698006</v>
      </c>
      <c r="M42" s="110">
        <v>76631537.023752585</v>
      </c>
      <c r="N42" s="128"/>
    </row>
    <row r="43" spans="1:14" ht="12.75" customHeight="1" x14ac:dyDescent="0.25">
      <c r="A43" s="305" t="s">
        <v>1229</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1230</v>
      </c>
      <c r="B44" s="73"/>
      <c r="C44" s="130">
        <v>5089171.67</v>
      </c>
      <c r="D44" s="109"/>
      <c r="E44" s="109"/>
      <c r="F44" s="109"/>
      <c r="G44" s="109"/>
      <c r="H44" s="109"/>
      <c r="I44" s="109"/>
      <c r="J44" s="75">
        <f>SUM(E44:I44)</f>
        <v>0</v>
      </c>
      <c r="K44" s="75">
        <f>IF(D44=0,C44+J44,D44+J44)</f>
        <v>5089171.67</v>
      </c>
      <c r="L44" s="109">
        <v>5598088.8370000003</v>
      </c>
      <c r="M44" s="110">
        <v>6157897.7207000004</v>
      </c>
      <c r="N44" s="128"/>
    </row>
    <row r="45" spans="1:14" ht="12.75" customHeight="1" x14ac:dyDescent="0.25">
      <c r="A45" s="129" t="s">
        <v>632</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85742316.063800007</v>
      </c>
      <c r="D46" s="81">
        <f t="shared" ref="D46:M46" si="8">SUM(D42:D45)</f>
        <v>0</v>
      </c>
      <c r="E46" s="81">
        <f t="shared" si="8"/>
        <v>0</v>
      </c>
      <c r="F46" s="81">
        <f t="shared" si="8"/>
        <v>0</v>
      </c>
      <c r="G46" s="81">
        <f t="shared" si="8"/>
        <v>0</v>
      </c>
      <c r="H46" s="81">
        <f t="shared" si="8"/>
        <v>0</v>
      </c>
      <c r="I46" s="81">
        <f t="shared" si="8"/>
        <v>0</v>
      </c>
      <c r="J46" s="81">
        <f t="shared" si="8"/>
        <v>0</v>
      </c>
      <c r="K46" s="81">
        <f t="shared" si="8"/>
        <v>85742316.063800007</v>
      </c>
      <c r="L46" s="81">
        <f t="shared" si="8"/>
        <v>84303268.590698004</v>
      </c>
      <c r="M46" s="82">
        <f t="shared" si="8"/>
        <v>82789434.744452581</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1231</v>
      </c>
      <c r="B48" s="73"/>
      <c r="C48" s="74"/>
      <c r="D48" s="75"/>
      <c r="E48" s="75"/>
      <c r="F48" s="75"/>
      <c r="G48" s="75"/>
      <c r="H48" s="75"/>
      <c r="I48" s="75"/>
      <c r="J48" s="75"/>
      <c r="K48" s="75"/>
      <c r="L48" s="75"/>
      <c r="M48" s="76"/>
      <c r="N48" s="128"/>
    </row>
    <row r="49" spans="1:14" ht="12.75" customHeight="1" x14ac:dyDescent="0.25">
      <c r="A49" s="52" t="s">
        <v>1232</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906">
        <f>1860224026.71-438</f>
        <v>1860223588.71</v>
      </c>
      <c r="D50" s="907"/>
      <c r="E50" s="907"/>
      <c r="F50" s="907"/>
      <c r="G50" s="907"/>
      <c r="H50" s="907"/>
      <c r="I50" s="907">
        <v>-4786921</v>
      </c>
      <c r="J50" s="75">
        <f>SUM(E50:I50)</f>
        <v>-4786921</v>
      </c>
      <c r="K50" s="75">
        <f>IF(D50=0,C50+J50,D50+J50)</f>
        <v>1855436667.71</v>
      </c>
      <c r="L50" s="907">
        <f>1862915999+31697718</f>
        <v>1894613717</v>
      </c>
      <c r="M50" s="908">
        <f>1895520624+51580320</f>
        <v>1947100944</v>
      </c>
      <c r="N50" s="128"/>
    </row>
    <row r="51" spans="1:14" ht="12.75" customHeight="1" x14ac:dyDescent="0.25">
      <c r="A51" s="30" t="s">
        <v>1233</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1234</v>
      </c>
      <c r="B52" s="73"/>
      <c r="C52" s="130"/>
      <c r="D52" s="109"/>
      <c r="E52" s="109"/>
      <c r="F52" s="109"/>
      <c r="G52" s="109"/>
      <c r="H52" s="109"/>
      <c r="I52" s="109"/>
      <c r="J52" s="75">
        <f>SUM(E52:I52)</f>
        <v>0</v>
      </c>
      <c r="K52" s="75">
        <f>IF(D52=0,C52+J52,D52+J52)</f>
        <v>0</v>
      </c>
      <c r="L52" s="109"/>
      <c r="M52" s="110"/>
      <c r="N52" s="128"/>
    </row>
    <row r="53" spans="1:14" ht="12.75" customHeight="1" x14ac:dyDescent="0.25">
      <c r="A53" s="30" t="s">
        <v>1235</v>
      </c>
      <c r="B53" s="73"/>
      <c r="C53" s="130"/>
      <c r="D53" s="109"/>
      <c r="E53" s="109"/>
      <c r="F53" s="109"/>
      <c r="G53" s="109"/>
      <c r="H53" s="109"/>
      <c r="I53" s="109"/>
      <c r="J53" s="75">
        <f>SUM(E53:I53)</f>
        <v>0</v>
      </c>
      <c r="K53" s="75">
        <f>IF(D53=0,C53+J53,D53+J53)</f>
        <v>0</v>
      </c>
      <c r="L53" s="109"/>
      <c r="M53" s="110"/>
      <c r="N53" s="128"/>
    </row>
    <row r="54" spans="1:14" ht="12.75" customHeight="1" x14ac:dyDescent="0.25">
      <c r="A54" s="30" t="s">
        <v>1236</v>
      </c>
      <c r="B54" s="73"/>
      <c r="C54" s="130"/>
      <c r="D54" s="109"/>
      <c r="E54" s="109"/>
      <c r="F54" s="109"/>
      <c r="G54" s="109"/>
      <c r="H54" s="109"/>
      <c r="I54" s="109"/>
      <c r="J54" s="75">
        <f>SUM(E54:I54)</f>
        <v>0</v>
      </c>
      <c r="K54" s="75">
        <f>IF(D54=0,C54+J54,D54+J54)</f>
        <v>0</v>
      </c>
      <c r="L54" s="109"/>
      <c r="M54" s="110"/>
      <c r="N54" s="128"/>
    </row>
    <row r="55" spans="1:14" ht="12.75" customHeight="1" x14ac:dyDescent="0.25">
      <c r="A55" s="139" t="s">
        <v>719</v>
      </c>
      <c r="B55" s="73">
        <v>1</v>
      </c>
      <c r="C55" s="80">
        <f>SUM(C50:C54)</f>
        <v>1860223588.71</v>
      </c>
      <c r="D55" s="81">
        <f t="shared" ref="D55:M55" si="9">SUM(D50:D54)</f>
        <v>0</v>
      </c>
      <c r="E55" s="81">
        <f t="shared" si="9"/>
        <v>0</v>
      </c>
      <c r="F55" s="81">
        <f t="shared" si="9"/>
        <v>0</v>
      </c>
      <c r="G55" s="81">
        <f t="shared" si="9"/>
        <v>0</v>
      </c>
      <c r="H55" s="81">
        <f t="shared" si="9"/>
        <v>0</v>
      </c>
      <c r="I55" s="81">
        <f>SUM(I50:I54)</f>
        <v>-4786921</v>
      </c>
      <c r="J55" s="81">
        <f t="shared" si="9"/>
        <v>-4786921</v>
      </c>
      <c r="K55" s="81">
        <f t="shared" si="9"/>
        <v>1855436667.71</v>
      </c>
      <c r="L55" s="81">
        <f t="shared" si="9"/>
        <v>1894613717</v>
      </c>
      <c r="M55" s="82">
        <f t="shared" si="9"/>
        <v>1947100944</v>
      </c>
      <c r="N55" s="128"/>
    </row>
    <row r="56" spans="1:14" ht="12.75" customHeight="1" x14ac:dyDescent="0.25">
      <c r="A56" s="126" t="s">
        <v>720</v>
      </c>
      <c r="B56" s="115"/>
      <c r="C56" s="74"/>
      <c r="D56" s="75"/>
      <c r="E56" s="75"/>
      <c r="F56" s="75"/>
      <c r="G56" s="75"/>
      <c r="H56" s="75"/>
      <c r="I56" s="75"/>
      <c r="J56" s="75"/>
      <c r="K56" s="75"/>
      <c r="L56" s="75"/>
      <c r="M56" s="76"/>
      <c r="N56" s="128"/>
    </row>
    <row r="57" spans="1:14" ht="12.75" customHeight="1" x14ac:dyDescent="0.25">
      <c r="A57" s="30" t="s">
        <v>1237</v>
      </c>
      <c r="B57" s="137"/>
      <c r="C57" s="130"/>
      <c r="D57" s="109"/>
      <c r="E57" s="109"/>
      <c r="F57" s="109"/>
      <c r="G57" s="109"/>
      <c r="H57" s="109"/>
      <c r="I57" s="109"/>
      <c r="J57" s="75">
        <f>SUM(E57:I57)</f>
        <v>0</v>
      </c>
      <c r="K57" s="75">
        <f>IF(D57=0,C57+J57,D57+J57)</f>
        <v>0</v>
      </c>
      <c r="L57" s="109"/>
      <c r="M57" s="110"/>
      <c r="N57" s="128"/>
    </row>
    <row r="58" spans="1:14" ht="12.75" customHeight="1" x14ac:dyDescent="0.25">
      <c r="A58" s="30" t="s">
        <v>1238</v>
      </c>
      <c r="B58" s="73"/>
      <c r="C58" s="130"/>
      <c r="D58" s="109"/>
      <c r="E58" s="109"/>
      <c r="F58" s="109"/>
      <c r="G58" s="109"/>
      <c r="H58" s="109"/>
      <c r="I58" s="109"/>
      <c r="J58" s="75">
        <f>SUM(E58:I58)</f>
        <v>0</v>
      </c>
      <c r="K58" s="75">
        <f>IF(D58=0,C58+J58,D58+J58)</f>
        <v>0</v>
      </c>
      <c r="L58" s="109"/>
      <c r="M58" s="110"/>
      <c r="N58" s="128"/>
    </row>
    <row r="59" spans="1:14" ht="12.75" customHeight="1" x14ac:dyDescent="0.25">
      <c r="A59" s="30" t="s">
        <v>1239</v>
      </c>
      <c r="B59" s="73"/>
      <c r="C59" s="130"/>
      <c r="D59" s="109"/>
      <c r="E59" s="109"/>
      <c r="F59" s="109"/>
      <c r="G59" s="109"/>
      <c r="H59" s="109"/>
      <c r="I59" s="109"/>
      <c r="J59" s="75">
        <f>SUM(E59:I59)</f>
        <v>0</v>
      </c>
      <c r="K59" s="75">
        <f>IF(D59=0,C59+J59,D59+J59)</f>
        <v>0</v>
      </c>
      <c r="L59" s="109"/>
      <c r="M59" s="110"/>
      <c r="N59" s="128"/>
    </row>
    <row r="60" spans="1:14" ht="12.75" customHeight="1" x14ac:dyDescent="0.25">
      <c r="A60" s="484" t="s">
        <v>544</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1240</v>
      </c>
      <c r="B61" s="73"/>
      <c r="C61" s="130"/>
      <c r="D61" s="109"/>
      <c r="E61" s="109"/>
      <c r="F61" s="109"/>
      <c r="G61" s="109"/>
      <c r="H61" s="109"/>
      <c r="I61" s="109"/>
      <c r="J61" s="75">
        <f>SUM(E61:I61)</f>
        <v>0</v>
      </c>
      <c r="K61" s="75">
        <f>IF(D61=0,C61+J61,D61+J61)</f>
        <v>0</v>
      </c>
      <c r="L61" s="109"/>
      <c r="M61" s="110"/>
      <c r="N61" s="128"/>
    </row>
    <row r="62" spans="1:14" ht="12.75" customHeight="1" x14ac:dyDescent="0.25">
      <c r="A62" s="304" t="s">
        <v>1241</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x14ac:dyDescent="0.25">
      <c r="A63" s="155" t="s">
        <v>721</v>
      </c>
      <c r="B63" s="156">
        <v>2</v>
      </c>
      <c r="C63" s="157">
        <f t="shared" ref="C63:M63" si="11">C55+C62</f>
        <v>1860223588.71</v>
      </c>
      <c r="D63" s="117">
        <f t="shared" si="11"/>
        <v>0</v>
      </c>
      <c r="E63" s="117">
        <f t="shared" si="11"/>
        <v>0</v>
      </c>
      <c r="F63" s="117">
        <f t="shared" si="11"/>
        <v>0</v>
      </c>
      <c r="G63" s="117">
        <f t="shared" si="11"/>
        <v>0</v>
      </c>
      <c r="H63" s="117">
        <f t="shared" si="11"/>
        <v>0</v>
      </c>
      <c r="I63" s="117">
        <f t="shared" si="11"/>
        <v>-4786921</v>
      </c>
      <c r="J63" s="117">
        <f t="shared" si="11"/>
        <v>-4786921</v>
      </c>
      <c r="K63" s="117">
        <f t="shared" si="11"/>
        <v>1855436667.71</v>
      </c>
      <c r="L63" s="117">
        <f t="shared" si="11"/>
        <v>1894613717</v>
      </c>
      <c r="M63" s="118">
        <f t="shared" si="11"/>
        <v>1947100944</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1242</v>
      </c>
      <c r="B65" s="309"/>
      <c r="C65" s="309"/>
      <c r="D65" s="309"/>
      <c r="E65" s="309"/>
      <c r="F65" s="309"/>
      <c r="G65" s="309"/>
      <c r="H65" s="309"/>
      <c r="I65" s="309"/>
      <c r="J65" s="309"/>
      <c r="K65" s="309"/>
      <c r="L65" s="309"/>
      <c r="M65" s="309"/>
      <c r="N65" s="128"/>
    </row>
    <row r="66" spans="1:14" ht="12.75" customHeight="1" x14ac:dyDescent="0.25">
      <c r="A66" s="910"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60" t="s">
        <v>1</v>
      </c>
      <c r="B67" s="73"/>
      <c r="C67" s="130"/>
      <c r="D67" s="109"/>
      <c r="E67" s="109"/>
      <c r="F67" s="109"/>
      <c r="G67" s="109"/>
      <c r="H67" s="109"/>
      <c r="I67" s="109"/>
      <c r="J67" s="75">
        <f>SUM(E67:I67)</f>
        <v>0</v>
      </c>
      <c r="K67" s="75">
        <f>IF(D67=0,C67+J67,D67+J67)</f>
        <v>0</v>
      </c>
      <c r="L67" s="109"/>
      <c r="M67" s="110"/>
      <c r="N67" s="128"/>
    </row>
    <row r="68" spans="1:14" ht="12.75" customHeight="1" x14ac:dyDescent="0.25">
      <c r="A68" s="911"/>
      <c r="B68" s="909"/>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991</v>
      </c>
      <c r="B73" s="99"/>
      <c r="C73" s="99"/>
      <c r="D73" s="99"/>
      <c r="E73" s="99"/>
      <c r="F73" s="99"/>
      <c r="G73" s="99"/>
      <c r="H73" s="99"/>
      <c r="I73" s="99"/>
      <c r="J73" s="99"/>
      <c r="K73" s="99"/>
      <c r="L73" s="99"/>
      <c r="M73" s="99"/>
    </row>
    <row r="74" spans="1:14" x14ac:dyDescent="0.25">
      <c r="A74" s="1286" t="s">
        <v>762</v>
      </c>
      <c r="B74" s="1286"/>
      <c r="C74" s="1286"/>
      <c r="D74" s="1286"/>
      <c r="E74" s="1286"/>
      <c r="F74" s="1286"/>
      <c r="G74" s="1286"/>
      <c r="H74" s="1286"/>
      <c r="I74" s="1286"/>
      <c r="J74" s="1286"/>
      <c r="K74" s="1286"/>
      <c r="L74" s="1286"/>
      <c r="M74" s="1286"/>
    </row>
    <row r="75" spans="1:14" ht="12.75" customHeight="1" x14ac:dyDescent="0.25">
      <c r="A75" s="99" t="s">
        <v>763</v>
      </c>
      <c r="B75" s="99"/>
      <c r="C75" s="99"/>
      <c r="D75" s="99"/>
      <c r="E75" s="99"/>
      <c r="F75" s="99"/>
      <c r="G75" s="99"/>
      <c r="H75" s="99"/>
      <c r="I75" s="99"/>
      <c r="J75" s="99"/>
      <c r="K75" s="99"/>
      <c r="L75" s="99"/>
      <c r="M75" s="99"/>
    </row>
    <row r="76" spans="1:14" ht="12.75" customHeight="1" x14ac:dyDescent="0.25">
      <c r="A76" s="99" t="s">
        <v>764</v>
      </c>
      <c r="B76" s="99"/>
      <c r="C76" s="99"/>
      <c r="D76" s="99"/>
      <c r="E76" s="99"/>
      <c r="F76" s="99"/>
      <c r="G76" s="99"/>
      <c r="H76" s="99"/>
      <c r="I76" s="99"/>
      <c r="J76" s="99"/>
      <c r="K76" s="99"/>
      <c r="L76" s="99"/>
      <c r="M76" s="99"/>
    </row>
    <row r="77" spans="1:14" ht="12.75" customHeight="1" x14ac:dyDescent="0.25">
      <c r="A77" s="99" t="s">
        <v>765</v>
      </c>
      <c r="B77" s="93"/>
      <c r="C77" s="96"/>
      <c r="D77" s="96"/>
      <c r="E77" s="96"/>
      <c r="F77" s="96"/>
      <c r="G77" s="96"/>
      <c r="H77" s="96"/>
      <c r="I77" s="96"/>
      <c r="J77" s="96"/>
      <c r="K77" s="96"/>
      <c r="L77" s="96"/>
      <c r="M77" s="96"/>
    </row>
    <row r="78" spans="1:14" x14ac:dyDescent="0.25">
      <c r="A78" s="1286" t="s">
        <v>766</v>
      </c>
      <c r="B78" s="1286"/>
      <c r="C78" s="1286"/>
      <c r="D78" s="1286"/>
      <c r="E78" s="1286"/>
      <c r="F78" s="1286"/>
      <c r="G78" s="1286"/>
      <c r="H78" s="1286"/>
      <c r="I78" s="1286"/>
      <c r="J78" s="1286"/>
      <c r="K78" s="1286"/>
      <c r="L78" s="1286"/>
      <c r="M78" s="1286"/>
    </row>
    <row r="79" spans="1:14" ht="12.75" customHeight="1" x14ac:dyDescent="0.25">
      <c r="A79" s="99" t="s">
        <v>767</v>
      </c>
      <c r="B79" s="93"/>
      <c r="C79" s="96"/>
      <c r="D79" s="96"/>
      <c r="E79" s="96"/>
      <c r="F79" s="96"/>
      <c r="G79" s="96"/>
      <c r="H79" s="96"/>
      <c r="I79" s="96"/>
      <c r="J79" s="96"/>
      <c r="K79" s="96"/>
      <c r="L79" s="96"/>
      <c r="M79" s="96"/>
    </row>
    <row r="80" spans="1:14" ht="12.75" customHeight="1" x14ac:dyDescent="0.25">
      <c r="A80" s="99" t="s">
        <v>768</v>
      </c>
      <c r="B80" s="100"/>
      <c r="C80" s="100"/>
      <c r="D80" s="100"/>
      <c r="E80" s="100"/>
      <c r="F80" s="100"/>
      <c r="G80" s="100"/>
      <c r="H80" s="100"/>
      <c r="I80" s="100"/>
      <c r="J80" s="100"/>
      <c r="K80" s="100"/>
      <c r="L80" s="100"/>
      <c r="M80" s="100"/>
    </row>
    <row r="81" spans="1:13" ht="12.75" customHeight="1" x14ac:dyDescent="0.25">
      <c r="A81" s="99" t="s">
        <v>1819</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170"/>
  <sheetViews>
    <sheetView showGridLines="0" zoomScaleNormal="100" workbookViewId="0">
      <pane xSplit="1" ySplit="4" topLeftCell="B32" activePane="bottomRight" state="frozen"/>
      <selection activeCell="C6" sqref="C6"/>
      <selection pane="topRight" activeCell="C6" sqref="C6"/>
      <selection pane="bottomLeft" activeCell="C6" sqref="C6"/>
      <selection pane="bottomRight" activeCell="G89" sqref="G89"/>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LIM333 Greater Tzaneen - Supporting Table SB3 Adjustments to the SDBIP - performance objectives - 27/02/2019</v>
      </c>
      <c r="C1" s="58"/>
    </row>
    <row r="2" spans="1:13" ht="38.25" x14ac:dyDescent="0.25">
      <c r="A2" s="1393" t="str">
        <f>desc</f>
        <v>Description</v>
      </c>
      <c r="B2" s="1393" t="s">
        <v>6</v>
      </c>
      <c r="C2" s="1390" t="str">
        <f>Head2</f>
        <v>Budget Year 2018/19</v>
      </c>
      <c r="D2" s="1391"/>
      <c r="E2" s="1391"/>
      <c r="F2" s="1391"/>
      <c r="G2" s="1391"/>
      <c r="H2" s="1391"/>
      <c r="I2" s="1391"/>
      <c r="J2" s="1391"/>
      <c r="K2" s="1392"/>
      <c r="L2" s="169" t="str">
        <f>Head10</f>
        <v>Budget Year +1 2019/20</v>
      </c>
      <c r="M2" s="170" t="str">
        <f>Head11</f>
        <v>Budget Year +2 2020/21</v>
      </c>
    </row>
    <row r="3" spans="1:13"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2"/>
      <c r="B4" s="1402"/>
      <c r="C4" s="67" t="s">
        <v>548</v>
      </c>
      <c r="D4" s="68" t="s">
        <v>549</v>
      </c>
      <c r="E4" s="68" t="s">
        <v>550</v>
      </c>
      <c r="F4" s="69" t="s">
        <v>551</v>
      </c>
      <c r="G4" s="69" t="s">
        <v>552</v>
      </c>
      <c r="H4" s="69" t="s">
        <v>553</v>
      </c>
      <c r="I4" s="70" t="s">
        <v>554</v>
      </c>
      <c r="J4" s="70" t="s">
        <v>555</v>
      </c>
      <c r="K4" s="70" t="s">
        <v>556</v>
      </c>
      <c r="L4" s="70"/>
      <c r="M4" s="71"/>
    </row>
    <row r="5" spans="1:13" ht="12.75" customHeight="1" x14ac:dyDescent="0.25">
      <c r="A5" s="827" t="s">
        <v>452</v>
      </c>
      <c r="B5" s="320"/>
      <c r="C5" s="130"/>
      <c r="D5" s="109"/>
      <c r="E5" s="109"/>
      <c r="F5" s="109"/>
      <c r="G5" s="109"/>
      <c r="H5" s="109"/>
      <c r="I5" s="109"/>
      <c r="J5" s="75"/>
      <c r="K5" s="75"/>
      <c r="L5" s="75"/>
      <c r="M5" s="76"/>
    </row>
    <row r="6" spans="1:13" ht="12.75" customHeight="1" x14ac:dyDescent="0.25">
      <c r="A6" s="828" t="s">
        <v>453</v>
      </c>
      <c r="B6" s="321"/>
      <c r="C6" s="130"/>
      <c r="D6" s="109"/>
      <c r="E6" s="109"/>
      <c r="F6" s="109"/>
      <c r="G6" s="109"/>
      <c r="H6" s="109"/>
      <c r="I6" s="109"/>
      <c r="J6" s="75"/>
      <c r="K6" s="75"/>
      <c r="L6" s="75"/>
      <c r="M6" s="76"/>
    </row>
    <row r="7" spans="1:13" ht="12.75" customHeight="1" x14ac:dyDescent="0.25">
      <c r="A7" s="1352" t="s">
        <v>1990</v>
      </c>
      <c r="B7" s="321"/>
      <c r="C7" s="130"/>
      <c r="D7" s="109"/>
      <c r="E7" s="109"/>
      <c r="F7" s="109"/>
      <c r="G7" s="109"/>
      <c r="H7" s="109"/>
      <c r="I7" s="109"/>
      <c r="J7" s="75"/>
      <c r="K7" s="75"/>
      <c r="L7" s="75"/>
      <c r="M7" s="76"/>
    </row>
    <row r="8" spans="1:13" ht="12.75" customHeight="1" x14ac:dyDescent="0.25">
      <c r="A8" s="1353" t="s">
        <v>1991</v>
      </c>
      <c r="B8" s="321"/>
      <c r="C8" s="130">
        <v>7600</v>
      </c>
      <c r="D8" s="109"/>
      <c r="E8" s="109"/>
      <c r="F8" s="109"/>
      <c r="G8" s="109"/>
      <c r="H8" s="109"/>
      <c r="I8" s="109">
        <v>-5200</v>
      </c>
      <c r="J8" s="75">
        <f>SUM(E8:I8)</f>
        <v>-5200</v>
      </c>
      <c r="K8" s="75">
        <f>IF(D8=0,C8+J8,D8+J8)</f>
        <v>2400</v>
      </c>
      <c r="L8" s="75">
        <v>7800</v>
      </c>
      <c r="M8" s="76">
        <v>8000</v>
      </c>
    </row>
    <row r="9" spans="1:13" ht="12.75" customHeight="1" x14ac:dyDescent="0.25">
      <c r="A9" s="1353" t="s">
        <v>1992</v>
      </c>
      <c r="B9" s="321"/>
      <c r="C9" s="130">
        <v>2200</v>
      </c>
      <c r="D9" s="109"/>
      <c r="E9" s="109"/>
      <c r="F9" s="109"/>
      <c r="G9" s="109"/>
      <c r="H9" s="109"/>
      <c r="I9" s="109">
        <v>-2200</v>
      </c>
      <c r="J9" s="75">
        <f t="shared" ref="J9:J72" si="0">SUM(E9:I9)</f>
        <v>-2200</v>
      </c>
      <c r="K9" s="75">
        <f t="shared" ref="K9:K72" si="1">IF(D9=0,C9+J9,D9+J9)</f>
        <v>0</v>
      </c>
      <c r="L9" s="75">
        <v>2200</v>
      </c>
      <c r="M9" s="76">
        <v>2200</v>
      </c>
    </row>
    <row r="10" spans="1:13" ht="12.75" customHeight="1" x14ac:dyDescent="0.25">
      <c r="A10" s="1353" t="s">
        <v>1993</v>
      </c>
      <c r="B10" s="321"/>
      <c r="C10" s="130">
        <v>3</v>
      </c>
      <c r="D10" s="109"/>
      <c r="E10" s="109"/>
      <c r="F10" s="109"/>
      <c r="G10" s="109"/>
      <c r="H10" s="109"/>
      <c r="I10" s="109">
        <v>0</v>
      </c>
      <c r="J10" s="75">
        <f t="shared" si="0"/>
        <v>0</v>
      </c>
      <c r="K10" s="75">
        <f t="shared" si="1"/>
        <v>3</v>
      </c>
      <c r="L10" s="75">
        <v>100</v>
      </c>
      <c r="M10" s="76">
        <v>100</v>
      </c>
    </row>
    <row r="11" spans="1:13" ht="12.75" customHeight="1" x14ac:dyDescent="0.25">
      <c r="A11" s="1353" t="s">
        <v>1994</v>
      </c>
      <c r="B11" s="322"/>
      <c r="C11" s="130">
        <v>5</v>
      </c>
      <c r="D11" s="109"/>
      <c r="E11" s="109"/>
      <c r="F11" s="109"/>
      <c r="G11" s="109"/>
      <c r="H11" s="109"/>
      <c r="I11" s="109">
        <v>-5</v>
      </c>
      <c r="J11" s="75">
        <f t="shared" si="0"/>
        <v>-5</v>
      </c>
      <c r="K11" s="75">
        <f t="shared" si="1"/>
        <v>0</v>
      </c>
      <c r="L11" s="75">
        <v>0</v>
      </c>
      <c r="M11" s="76">
        <v>0</v>
      </c>
    </row>
    <row r="12" spans="1:13" ht="12.75" customHeight="1" x14ac:dyDescent="0.25">
      <c r="A12" s="1353" t="s">
        <v>1995</v>
      </c>
      <c r="B12" s="320"/>
      <c r="C12" s="130">
        <v>4</v>
      </c>
      <c r="D12" s="109"/>
      <c r="E12" s="109"/>
      <c r="F12" s="109"/>
      <c r="G12" s="109"/>
      <c r="H12" s="109"/>
      <c r="I12" s="109">
        <v>0</v>
      </c>
      <c r="J12" s="75">
        <f t="shared" si="0"/>
        <v>0</v>
      </c>
      <c r="K12" s="75">
        <f t="shared" si="1"/>
        <v>4</v>
      </c>
      <c r="L12" s="75">
        <v>4</v>
      </c>
      <c r="M12" s="76">
        <v>4</v>
      </c>
    </row>
    <row r="13" spans="1:13" ht="12.75" customHeight="1" x14ac:dyDescent="0.25">
      <c r="A13" s="1353" t="s">
        <v>1996</v>
      </c>
      <c r="B13" s="321"/>
      <c r="C13" s="130">
        <v>4</v>
      </c>
      <c r="D13" s="109"/>
      <c r="E13" s="109"/>
      <c r="F13" s="109"/>
      <c r="G13" s="109"/>
      <c r="H13" s="109"/>
      <c r="I13" s="109">
        <v>0</v>
      </c>
      <c r="J13" s="75">
        <f t="shared" si="0"/>
        <v>0</v>
      </c>
      <c r="K13" s="75">
        <f t="shared" si="1"/>
        <v>4</v>
      </c>
      <c r="L13" s="75">
        <v>4</v>
      </c>
      <c r="M13" s="76">
        <v>4</v>
      </c>
    </row>
    <row r="14" spans="1:13" ht="12.75" customHeight="1" x14ac:dyDescent="0.25">
      <c r="A14" s="1353" t="s">
        <v>1997</v>
      </c>
      <c r="B14" s="322"/>
      <c r="C14" s="130">
        <v>50</v>
      </c>
      <c r="D14" s="109"/>
      <c r="E14" s="109"/>
      <c r="F14" s="109"/>
      <c r="G14" s="109"/>
      <c r="H14" s="109"/>
      <c r="I14" s="109">
        <v>0</v>
      </c>
      <c r="J14" s="75">
        <f t="shared" si="0"/>
        <v>0</v>
      </c>
      <c r="K14" s="75">
        <f t="shared" si="1"/>
        <v>50</v>
      </c>
      <c r="L14" s="75">
        <v>50</v>
      </c>
      <c r="M14" s="76">
        <v>50</v>
      </c>
    </row>
    <row r="15" spans="1:13" ht="12.75" customHeight="1" x14ac:dyDescent="0.25">
      <c r="A15" s="1353" t="s">
        <v>1998</v>
      </c>
      <c r="B15" s="321"/>
      <c r="C15" s="130">
        <v>35</v>
      </c>
      <c r="D15" s="109"/>
      <c r="E15" s="109"/>
      <c r="F15" s="109"/>
      <c r="G15" s="109"/>
      <c r="H15" s="109"/>
      <c r="I15" s="109">
        <v>0</v>
      </c>
      <c r="J15" s="75">
        <f t="shared" si="0"/>
        <v>0</v>
      </c>
      <c r="K15" s="75">
        <f t="shared" si="1"/>
        <v>35</v>
      </c>
      <c r="L15" s="75">
        <v>35</v>
      </c>
      <c r="M15" s="76">
        <v>35</v>
      </c>
    </row>
    <row r="16" spans="1:13" ht="12.75" customHeight="1" x14ac:dyDescent="0.25">
      <c r="A16" s="1353" t="s">
        <v>1999</v>
      </c>
      <c r="B16" s="320"/>
      <c r="C16" s="130">
        <v>389</v>
      </c>
      <c r="D16" s="109"/>
      <c r="E16" s="109"/>
      <c r="F16" s="109"/>
      <c r="G16" s="109"/>
      <c r="H16" s="109"/>
      <c r="I16" s="109">
        <v>695</v>
      </c>
      <c r="J16" s="75">
        <f t="shared" si="0"/>
        <v>695</v>
      </c>
      <c r="K16" s="75">
        <f t="shared" si="1"/>
        <v>1084</v>
      </c>
      <c r="L16" s="75">
        <v>389</v>
      </c>
      <c r="M16" s="76">
        <v>389</v>
      </c>
    </row>
    <row r="17" spans="1:13" ht="12.75" customHeight="1" x14ac:dyDescent="0.25">
      <c r="A17" s="1353" t="s">
        <v>2000</v>
      </c>
      <c r="B17" s="321"/>
      <c r="C17" s="130">
        <v>12</v>
      </c>
      <c r="D17" s="109"/>
      <c r="E17" s="109"/>
      <c r="F17" s="109"/>
      <c r="G17" s="109"/>
      <c r="H17" s="109"/>
      <c r="I17" s="109">
        <v>-8</v>
      </c>
      <c r="J17" s="75">
        <f t="shared" si="0"/>
        <v>-8</v>
      </c>
      <c r="K17" s="75">
        <f t="shared" si="1"/>
        <v>4</v>
      </c>
      <c r="L17" s="75">
        <v>4</v>
      </c>
      <c r="M17" s="76">
        <v>4</v>
      </c>
    </row>
    <row r="18" spans="1:13" ht="12.75" customHeight="1" x14ac:dyDescent="0.25">
      <c r="A18" s="1353" t="s">
        <v>2001</v>
      </c>
      <c r="B18" s="321"/>
      <c r="C18" s="130">
        <v>1</v>
      </c>
      <c r="D18" s="109"/>
      <c r="E18" s="109"/>
      <c r="F18" s="109"/>
      <c r="G18" s="109"/>
      <c r="H18" s="109"/>
      <c r="I18" s="109">
        <v>3</v>
      </c>
      <c r="J18" s="75">
        <f t="shared" si="0"/>
        <v>3</v>
      </c>
      <c r="K18" s="75">
        <f t="shared" si="1"/>
        <v>4</v>
      </c>
      <c r="L18" s="75">
        <v>4</v>
      </c>
      <c r="M18" s="76">
        <v>4</v>
      </c>
    </row>
    <row r="19" spans="1:13" ht="12.75" customHeight="1" x14ac:dyDescent="0.25">
      <c r="A19" s="1354"/>
      <c r="B19" s="321"/>
      <c r="C19" s="130"/>
      <c r="D19" s="109"/>
      <c r="E19" s="109"/>
      <c r="F19" s="109"/>
      <c r="G19" s="109"/>
      <c r="H19" s="109"/>
      <c r="I19" s="109"/>
      <c r="J19" s="75"/>
      <c r="K19" s="75"/>
      <c r="L19" s="75"/>
      <c r="M19" s="76"/>
    </row>
    <row r="20" spans="1:13" ht="12.75" customHeight="1" x14ac:dyDescent="0.25">
      <c r="A20" s="1352" t="s">
        <v>2002</v>
      </c>
      <c r="B20" s="321"/>
      <c r="C20" s="130"/>
      <c r="D20" s="109"/>
      <c r="E20" s="109"/>
      <c r="F20" s="109"/>
      <c r="G20" s="109"/>
      <c r="H20" s="109"/>
      <c r="I20" s="109"/>
      <c r="J20" s="75"/>
      <c r="K20" s="75"/>
      <c r="L20" s="75"/>
      <c r="M20" s="76"/>
    </row>
    <row r="21" spans="1:13" ht="12.75" customHeight="1" x14ac:dyDescent="0.25">
      <c r="A21" s="1353" t="s">
        <v>2003</v>
      </c>
      <c r="B21" s="321"/>
      <c r="C21" s="130">
        <v>1</v>
      </c>
      <c r="D21" s="109"/>
      <c r="E21" s="109"/>
      <c r="F21" s="109"/>
      <c r="G21" s="109"/>
      <c r="H21" s="109"/>
      <c r="I21" s="109">
        <v>0</v>
      </c>
      <c r="J21" s="75">
        <f t="shared" si="0"/>
        <v>0</v>
      </c>
      <c r="K21" s="75">
        <f t="shared" si="1"/>
        <v>1</v>
      </c>
      <c r="L21" s="75">
        <v>1</v>
      </c>
      <c r="M21" s="76">
        <v>1</v>
      </c>
    </row>
    <row r="22" spans="1:13" ht="12.75" customHeight="1" x14ac:dyDescent="0.25">
      <c r="A22" s="1353" t="s">
        <v>2004</v>
      </c>
      <c r="B22" s="321"/>
      <c r="C22" s="130">
        <v>7</v>
      </c>
      <c r="D22" s="109"/>
      <c r="E22" s="109"/>
      <c r="F22" s="109"/>
      <c r="G22" s="109"/>
      <c r="H22" s="109"/>
      <c r="I22" s="109">
        <v>-7</v>
      </c>
      <c r="J22" s="75">
        <f t="shared" si="0"/>
        <v>-7</v>
      </c>
      <c r="K22" s="75">
        <f t="shared" si="1"/>
        <v>0</v>
      </c>
      <c r="L22" s="75">
        <v>7</v>
      </c>
      <c r="M22" s="76">
        <v>7</v>
      </c>
    </row>
    <row r="23" spans="1:13" ht="12.75" customHeight="1" x14ac:dyDescent="0.25">
      <c r="A23" s="1353" t="s">
        <v>1993</v>
      </c>
      <c r="B23" s="321"/>
      <c r="C23" s="130">
        <v>3</v>
      </c>
      <c r="D23" s="109"/>
      <c r="E23" s="109"/>
      <c r="F23" s="109"/>
      <c r="G23" s="109"/>
      <c r="H23" s="109"/>
      <c r="I23" s="109">
        <v>0</v>
      </c>
      <c r="J23" s="75">
        <f t="shared" si="0"/>
        <v>0</v>
      </c>
      <c r="K23" s="75">
        <f t="shared" si="1"/>
        <v>3</v>
      </c>
      <c r="L23" s="75">
        <v>3</v>
      </c>
      <c r="M23" s="76">
        <v>3</v>
      </c>
    </row>
    <row r="24" spans="1:13" ht="12.75" customHeight="1" x14ac:dyDescent="0.25">
      <c r="A24" s="1352" t="s">
        <v>2005</v>
      </c>
      <c r="B24" s="321"/>
      <c r="C24" s="130"/>
      <c r="D24" s="109"/>
      <c r="E24" s="109"/>
      <c r="F24" s="109"/>
      <c r="G24" s="109"/>
      <c r="H24" s="109"/>
      <c r="I24" s="109"/>
      <c r="J24" s="75"/>
      <c r="K24" s="75"/>
      <c r="L24" s="75"/>
      <c r="M24" s="76"/>
    </row>
    <row r="25" spans="1:13" ht="12.75" customHeight="1" x14ac:dyDescent="0.25">
      <c r="A25" s="1353" t="s">
        <v>2006</v>
      </c>
      <c r="B25" s="321"/>
      <c r="C25" s="130">
        <v>6</v>
      </c>
      <c r="D25" s="109"/>
      <c r="E25" s="109"/>
      <c r="F25" s="109"/>
      <c r="G25" s="109"/>
      <c r="H25" s="109"/>
      <c r="I25" s="109">
        <v>0</v>
      </c>
      <c r="J25" s="75">
        <f t="shared" si="0"/>
        <v>0</v>
      </c>
      <c r="K25" s="75">
        <f t="shared" si="1"/>
        <v>6</v>
      </c>
      <c r="L25" s="75">
        <v>6</v>
      </c>
      <c r="M25" s="76">
        <v>6</v>
      </c>
    </row>
    <row r="26" spans="1:13" ht="12.75" customHeight="1" x14ac:dyDescent="0.25">
      <c r="A26" s="1353" t="s">
        <v>2007</v>
      </c>
      <c r="B26" s="321"/>
      <c r="C26" s="130">
        <v>5</v>
      </c>
      <c r="D26" s="109"/>
      <c r="E26" s="109"/>
      <c r="F26" s="109"/>
      <c r="G26" s="109"/>
      <c r="H26" s="109"/>
      <c r="I26" s="109">
        <v>0</v>
      </c>
      <c r="J26" s="75">
        <f t="shared" si="0"/>
        <v>0</v>
      </c>
      <c r="K26" s="75">
        <f t="shared" si="1"/>
        <v>5</v>
      </c>
      <c r="L26" s="75">
        <v>5</v>
      </c>
      <c r="M26" s="76">
        <v>5</v>
      </c>
    </row>
    <row r="27" spans="1:13" ht="12.75" customHeight="1" x14ac:dyDescent="0.25">
      <c r="A27" s="1353" t="s">
        <v>2008</v>
      </c>
      <c r="B27" s="321"/>
      <c r="C27" s="130">
        <v>41729</v>
      </c>
      <c r="D27" s="109"/>
      <c r="E27" s="109"/>
      <c r="F27" s="109"/>
      <c r="G27" s="109"/>
      <c r="H27" s="109"/>
      <c r="I27" s="109">
        <v>0</v>
      </c>
      <c r="J27" s="75">
        <f t="shared" si="0"/>
        <v>0</v>
      </c>
      <c r="K27" s="75">
        <f t="shared" si="1"/>
        <v>41729</v>
      </c>
      <c r="L27" s="75">
        <v>41729</v>
      </c>
      <c r="M27" s="76">
        <v>41729</v>
      </c>
    </row>
    <row r="28" spans="1:13" ht="12.75" customHeight="1" x14ac:dyDescent="0.25">
      <c r="A28" s="1353" t="s">
        <v>2009</v>
      </c>
      <c r="B28" s="321"/>
      <c r="C28" s="130" t="s">
        <v>2137</v>
      </c>
      <c r="D28" s="109"/>
      <c r="E28" s="109"/>
      <c r="F28" s="109"/>
      <c r="G28" s="109"/>
      <c r="H28" s="109"/>
      <c r="I28" s="109">
        <v>0</v>
      </c>
      <c r="J28" s="75">
        <v>0</v>
      </c>
      <c r="K28" s="75" t="s">
        <v>2137</v>
      </c>
      <c r="L28" s="75" t="s">
        <v>2137</v>
      </c>
      <c r="M28" s="76" t="s">
        <v>2137</v>
      </c>
    </row>
    <row r="29" spans="1:13" ht="12.75" customHeight="1" x14ac:dyDescent="0.25">
      <c r="A29" s="1353" t="s">
        <v>2010</v>
      </c>
      <c r="B29" s="321"/>
      <c r="C29" s="130">
        <v>42521</v>
      </c>
      <c r="D29" s="109"/>
      <c r="E29" s="109"/>
      <c r="F29" s="109"/>
      <c r="G29" s="109"/>
      <c r="H29" s="109"/>
      <c r="I29" s="109">
        <v>0</v>
      </c>
      <c r="J29" s="75">
        <f t="shared" si="0"/>
        <v>0</v>
      </c>
      <c r="K29" s="75">
        <f t="shared" si="1"/>
        <v>42521</v>
      </c>
      <c r="L29" s="75">
        <v>42521</v>
      </c>
      <c r="M29" s="76">
        <v>42521</v>
      </c>
    </row>
    <row r="30" spans="1:13" ht="12.75" customHeight="1" x14ac:dyDescent="0.25">
      <c r="A30" s="1353" t="s">
        <v>2011</v>
      </c>
      <c r="B30" s="321"/>
      <c r="C30" s="130">
        <v>1</v>
      </c>
      <c r="D30" s="109"/>
      <c r="E30" s="109"/>
      <c r="F30" s="109"/>
      <c r="G30" s="109"/>
      <c r="H30" s="109"/>
      <c r="I30" s="109">
        <v>0</v>
      </c>
      <c r="J30" s="75">
        <f t="shared" si="0"/>
        <v>0</v>
      </c>
      <c r="K30" s="75">
        <f t="shared" si="1"/>
        <v>1</v>
      </c>
      <c r="L30" s="75">
        <v>1</v>
      </c>
      <c r="M30" s="76">
        <v>1</v>
      </c>
    </row>
    <row r="31" spans="1:13" ht="12.75" customHeight="1" x14ac:dyDescent="0.25">
      <c r="A31" s="1352" t="s">
        <v>2012</v>
      </c>
      <c r="B31" s="321"/>
      <c r="C31" s="130"/>
      <c r="D31" s="109"/>
      <c r="E31" s="109"/>
      <c r="F31" s="109"/>
      <c r="G31" s="109"/>
      <c r="H31" s="109"/>
      <c r="I31" s="109"/>
      <c r="J31" s="75"/>
      <c r="K31" s="75"/>
      <c r="L31" s="75"/>
      <c r="M31" s="76"/>
    </row>
    <row r="32" spans="1:13" ht="12.75" customHeight="1" x14ac:dyDescent="0.25">
      <c r="A32" s="1353" t="s">
        <v>2013</v>
      </c>
      <c r="B32" s="321"/>
      <c r="C32" s="130">
        <v>2</v>
      </c>
      <c r="D32" s="109"/>
      <c r="E32" s="109"/>
      <c r="F32" s="109"/>
      <c r="G32" s="109"/>
      <c r="H32" s="109"/>
      <c r="I32" s="109">
        <v>0</v>
      </c>
      <c r="J32" s="75">
        <f t="shared" si="0"/>
        <v>0</v>
      </c>
      <c r="K32" s="75">
        <f t="shared" si="1"/>
        <v>2</v>
      </c>
      <c r="L32" s="75">
        <v>2</v>
      </c>
      <c r="M32" s="76">
        <v>2</v>
      </c>
    </row>
    <row r="33" spans="1:13" ht="12.75" customHeight="1" x14ac:dyDescent="0.25">
      <c r="A33" s="1353" t="s">
        <v>2014</v>
      </c>
      <c r="B33" s="321"/>
      <c r="C33" s="130">
        <v>7</v>
      </c>
      <c r="D33" s="109"/>
      <c r="E33" s="109"/>
      <c r="F33" s="109"/>
      <c r="G33" s="109"/>
      <c r="H33" s="109"/>
      <c r="I33" s="109">
        <v>0</v>
      </c>
      <c r="J33" s="75">
        <f t="shared" si="0"/>
        <v>0</v>
      </c>
      <c r="K33" s="75">
        <f t="shared" si="1"/>
        <v>7</v>
      </c>
      <c r="L33" s="75">
        <v>7</v>
      </c>
      <c r="M33" s="76">
        <v>7</v>
      </c>
    </row>
    <row r="34" spans="1:13" ht="12.75" customHeight="1" x14ac:dyDescent="0.25">
      <c r="A34" s="1352" t="s">
        <v>2015</v>
      </c>
      <c r="B34" s="321"/>
      <c r="C34" s="130"/>
      <c r="D34" s="109"/>
      <c r="E34" s="109"/>
      <c r="F34" s="109"/>
      <c r="G34" s="109"/>
      <c r="H34" s="109"/>
      <c r="I34" s="109"/>
      <c r="J34" s="75"/>
      <c r="K34" s="75"/>
      <c r="L34" s="75"/>
      <c r="M34" s="76"/>
    </row>
    <row r="35" spans="1:13" ht="12.75" customHeight="1" x14ac:dyDescent="0.25">
      <c r="A35" s="1353" t="s">
        <v>2016</v>
      </c>
      <c r="B35" s="321"/>
      <c r="C35" s="130">
        <v>0.98</v>
      </c>
      <c r="D35" s="109"/>
      <c r="E35" s="109"/>
      <c r="F35" s="109"/>
      <c r="G35" s="109"/>
      <c r="H35" s="109"/>
      <c r="I35" s="109">
        <v>0</v>
      </c>
      <c r="J35" s="75">
        <f t="shared" si="0"/>
        <v>0</v>
      </c>
      <c r="K35" s="75">
        <f t="shared" si="1"/>
        <v>0.98</v>
      </c>
      <c r="L35" s="75">
        <v>0.99</v>
      </c>
      <c r="M35" s="76">
        <v>0.99</v>
      </c>
    </row>
    <row r="36" spans="1:13" ht="12.75" customHeight="1" x14ac:dyDescent="0.25">
      <c r="A36" s="1353" t="s">
        <v>2017</v>
      </c>
      <c r="B36" s="321"/>
      <c r="C36" s="130">
        <v>56517</v>
      </c>
      <c r="D36" s="109"/>
      <c r="E36" s="109"/>
      <c r="F36" s="109"/>
      <c r="G36" s="109"/>
      <c r="H36" s="109"/>
      <c r="I36" s="109">
        <v>-8695</v>
      </c>
      <c r="J36" s="75">
        <f t="shared" si="0"/>
        <v>-8695</v>
      </c>
      <c r="K36" s="75">
        <f t="shared" si="1"/>
        <v>47822</v>
      </c>
      <c r="L36" s="75">
        <v>69559</v>
      </c>
      <c r="M36" s="76">
        <v>82601</v>
      </c>
    </row>
    <row r="37" spans="1:13" ht="12.75" customHeight="1" x14ac:dyDescent="0.25">
      <c r="A37" s="1353" t="s">
        <v>2136</v>
      </c>
      <c r="B37" s="321"/>
      <c r="C37" s="130" t="s">
        <v>2138</v>
      </c>
      <c r="D37" s="109"/>
      <c r="E37" s="109"/>
      <c r="F37" s="109"/>
      <c r="G37" s="109"/>
      <c r="H37" s="109"/>
      <c r="I37" s="109">
        <v>0</v>
      </c>
      <c r="J37" s="75">
        <f t="shared" si="0"/>
        <v>0</v>
      </c>
      <c r="K37" s="75" t="s">
        <v>2138</v>
      </c>
      <c r="L37" s="75" t="s">
        <v>2138</v>
      </c>
      <c r="M37" s="76" t="s">
        <v>2138</v>
      </c>
    </row>
    <row r="38" spans="1:13" ht="12.75" customHeight="1" x14ac:dyDescent="0.25">
      <c r="A38" s="1353" t="s">
        <v>2018</v>
      </c>
      <c r="B38" s="321"/>
      <c r="C38" s="130">
        <v>4400000</v>
      </c>
      <c r="D38" s="109"/>
      <c r="E38" s="109"/>
      <c r="F38" s="109"/>
      <c r="G38" s="109"/>
      <c r="H38" s="109"/>
      <c r="I38" s="109">
        <v>0</v>
      </c>
      <c r="J38" s="75">
        <f t="shared" si="0"/>
        <v>0</v>
      </c>
      <c r="K38" s="75">
        <f t="shared" si="1"/>
        <v>4400000</v>
      </c>
      <c r="L38" s="75">
        <v>4600000</v>
      </c>
      <c r="M38" s="76">
        <v>4800000</v>
      </c>
    </row>
    <row r="39" spans="1:13" ht="12.75" customHeight="1" x14ac:dyDescent="0.25">
      <c r="A39" s="1353" t="s">
        <v>2019</v>
      </c>
      <c r="B39" s="321"/>
      <c r="C39" s="130">
        <v>0.1</v>
      </c>
      <c r="D39" s="109"/>
      <c r="E39" s="109"/>
      <c r="F39" s="109"/>
      <c r="G39" s="109"/>
      <c r="H39" s="109"/>
      <c r="I39" s="109">
        <v>0</v>
      </c>
      <c r="J39" s="75">
        <f t="shared" si="0"/>
        <v>0</v>
      </c>
      <c r="K39" s="75">
        <f t="shared" si="1"/>
        <v>0.1</v>
      </c>
      <c r="L39" s="75">
        <v>0.15</v>
      </c>
      <c r="M39" s="76">
        <v>0.2</v>
      </c>
    </row>
    <row r="40" spans="1:13" ht="12.75" customHeight="1" x14ac:dyDescent="0.25">
      <c r="A40" s="1353" t="s">
        <v>2020</v>
      </c>
      <c r="B40" s="321"/>
      <c r="C40" s="130">
        <v>1525</v>
      </c>
      <c r="D40" s="109"/>
      <c r="E40" s="109"/>
      <c r="F40" s="109"/>
      <c r="G40" s="109"/>
      <c r="H40" s="109"/>
      <c r="I40" s="109">
        <v>0</v>
      </c>
      <c r="J40" s="75">
        <f t="shared" si="0"/>
        <v>0</v>
      </c>
      <c r="K40" s="75">
        <f t="shared" si="1"/>
        <v>1525</v>
      </c>
      <c r="L40" s="75">
        <v>1525</v>
      </c>
      <c r="M40" s="76">
        <v>1525</v>
      </c>
    </row>
    <row r="41" spans="1:13" ht="12.75" customHeight="1" x14ac:dyDescent="0.25">
      <c r="A41" s="1353" t="s">
        <v>2021</v>
      </c>
      <c r="B41" s="321"/>
      <c r="C41" s="130">
        <v>8</v>
      </c>
      <c r="D41" s="109"/>
      <c r="E41" s="109"/>
      <c r="F41" s="109"/>
      <c r="G41" s="109"/>
      <c r="H41" s="109"/>
      <c r="I41" s="109">
        <v>0</v>
      </c>
      <c r="J41" s="75">
        <f t="shared" si="0"/>
        <v>0</v>
      </c>
      <c r="K41" s="75">
        <f t="shared" si="1"/>
        <v>8</v>
      </c>
      <c r="L41" s="75">
        <v>8</v>
      </c>
      <c r="M41" s="76">
        <v>8</v>
      </c>
    </row>
    <row r="42" spans="1:13" ht="12.75" customHeight="1" x14ac:dyDescent="0.25">
      <c r="A42" s="1353" t="s">
        <v>2022</v>
      </c>
      <c r="B42" s="321"/>
      <c r="C42" s="130">
        <v>0.7</v>
      </c>
      <c r="D42" s="109"/>
      <c r="E42" s="109"/>
      <c r="F42" s="109"/>
      <c r="G42" s="109"/>
      <c r="H42" s="109"/>
      <c r="I42" s="109">
        <v>-0.35</v>
      </c>
      <c r="J42" s="75">
        <f t="shared" si="0"/>
        <v>-0.35</v>
      </c>
      <c r="K42" s="75">
        <f t="shared" si="1"/>
        <v>0.35</v>
      </c>
      <c r="L42" s="75">
        <v>0.35</v>
      </c>
      <c r="M42" s="76">
        <v>0.35</v>
      </c>
    </row>
    <row r="43" spans="1:13" ht="12.75" customHeight="1" x14ac:dyDescent="0.25">
      <c r="A43" s="1353" t="s">
        <v>2023</v>
      </c>
      <c r="B43" s="321"/>
      <c r="C43" s="130">
        <v>138000000</v>
      </c>
      <c r="D43" s="109"/>
      <c r="E43" s="109"/>
      <c r="F43" s="109"/>
      <c r="G43" s="109"/>
      <c r="H43" s="109"/>
      <c r="I43" s="109">
        <v>-50658041</v>
      </c>
      <c r="J43" s="75">
        <f t="shared" si="0"/>
        <v>-50658041</v>
      </c>
      <c r="K43" s="75">
        <f t="shared" si="1"/>
        <v>87341959</v>
      </c>
      <c r="L43" s="75">
        <v>87341959</v>
      </c>
      <c r="M43" s="76">
        <v>87341959</v>
      </c>
    </row>
    <row r="44" spans="1:13" ht="12.75" customHeight="1" x14ac:dyDescent="0.25">
      <c r="A44" s="1353" t="s">
        <v>2024</v>
      </c>
      <c r="B44" s="321"/>
      <c r="C44" s="130">
        <v>1</v>
      </c>
      <c r="D44" s="109"/>
      <c r="E44" s="109"/>
      <c r="F44" s="109"/>
      <c r="G44" s="109"/>
      <c r="H44" s="109"/>
      <c r="I44" s="109">
        <v>-1</v>
      </c>
      <c r="J44" s="75">
        <f t="shared" si="0"/>
        <v>-1</v>
      </c>
      <c r="K44" s="75">
        <f t="shared" si="1"/>
        <v>0</v>
      </c>
      <c r="L44" s="75">
        <v>0</v>
      </c>
      <c r="M44" s="76">
        <v>0</v>
      </c>
    </row>
    <row r="45" spans="1:13" ht="12.75" customHeight="1" x14ac:dyDescent="0.25">
      <c r="A45" s="1353" t="s">
        <v>2025</v>
      </c>
      <c r="B45" s="321"/>
      <c r="C45" s="130">
        <v>101</v>
      </c>
      <c r="D45" s="109"/>
      <c r="E45" s="109"/>
      <c r="F45" s="109"/>
      <c r="G45" s="109"/>
      <c r="H45" s="109"/>
      <c r="I45" s="109">
        <v>-41</v>
      </c>
      <c r="J45" s="75">
        <f t="shared" si="0"/>
        <v>-41</v>
      </c>
      <c r="K45" s="75">
        <f t="shared" si="1"/>
        <v>60</v>
      </c>
      <c r="L45" s="75">
        <v>60</v>
      </c>
      <c r="M45" s="76">
        <v>60</v>
      </c>
    </row>
    <row r="46" spans="1:13" ht="12.75" customHeight="1" x14ac:dyDescent="0.25">
      <c r="A46" s="1353" t="s">
        <v>2026</v>
      </c>
      <c r="B46" s="321"/>
      <c r="C46" s="130">
        <v>1</v>
      </c>
      <c r="D46" s="109"/>
      <c r="E46" s="109"/>
      <c r="F46" s="109"/>
      <c r="G46" s="109"/>
      <c r="H46" s="109"/>
      <c r="I46" s="109">
        <v>-1</v>
      </c>
      <c r="J46" s="75">
        <f t="shared" si="0"/>
        <v>-1</v>
      </c>
      <c r="K46" s="75">
        <f t="shared" si="1"/>
        <v>0</v>
      </c>
      <c r="L46" s="75">
        <v>0</v>
      </c>
      <c r="M46" s="76">
        <v>0</v>
      </c>
    </row>
    <row r="47" spans="1:13" ht="12.75" customHeight="1" x14ac:dyDescent="0.25">
      <c r="A47" s="1353" t="s">
        <v>2027</v>
      </c>
      <c r="B47" s="321"/>
      <c r="C47" s="130">
        <v>1</v>
      </c>
      <c r="D47" s="109"/>
      <c r="E47" s="109"/>
      <c r="F47" s="109"/>
      <c r="G47" s="109"/>
      <c r="H47" s="109"/>
      <c r="I47" s="109">
        <v>-0.4</v>
      </c>
      <c r="J47" s="75">
        <f t="shared" si="0"/>
        <v>-0.4</v>
      </c>
      <c r="K47" s="75">
        <f t="shared" si="1"/>
        <v>0.6</v>
      </c>
      <c r="L47" s="75">
        <v>0.6</v>
      </c>
      <c r="M47" s="76">
        <v>0.6</v>
      </c>
    </row>
    <row r="48" spans="1:13" ht="12.75" customHeight="1" x14ac:dyDescent="0.25">
      <c r="A48" s="1353" t="s">
        <v>2028</v>
      </c>
      <c r="B48" s="321"/>
      <c r="C48" s="130">
        <v>40</v>
      </c>
      <c r="D48" s="109"/>
      <c r="E48" s="109"/>
      <c r="F48" s="109"/>
      <c r="G48" s="109"/>
      <c r="H48" s="109"/>
      <c r="I48" s="109">
        <v>0</v>
      </c>
      <c r="J48" s="75">
        <f t="shared" si="0"/>
        <v>0</v>
      </c>
      <c r="K48" s="75">
        <f t="shared" si="1"/>
        <v>40</v>
      </c>
      <c r="L48" s="75">
        <v>30</v>
      </c>
      <c r="M48" s="76">
        <v>20</v>
      </c>
    </row>
    <row r="49" spans="1:13" ht="12.75" customHeight="1" x14ac:dyDescent="0.25">
      <c r="A49" s="1353" t="s">
        <v>2029</v>
      </c>
      <c r="B49" s="321"/>
      <c r="C49" s="130">
        <v>45</v>
      </c>
      <c r="D49" s="109"/>
      <c r="E49" s="109"/>
      <c r="F49" s="109"/>
      <c r="G49" s="109"/>
      <c r="H49" s="109"/>
      <c r="I49" s="109">
        <v>-5</v>
      </c>
      <c r="J49" s="75">
        <f t="shared" si="0"/>
        <v>-5</v>
      </c>
      <c r="K49" s="75">
        <f t="shared" si="1"/>
        <v>40</v>
      </c>
      <c r="L49" s="75">
        <v>50</v>
      </c>
      <c r="M49" s="76">
        <v>55</v>
      </c>
    </row>
    <row r="50" spans="1:13" ht="12.75" customHeight="1" x14ac:dyDescent="0.25">
      <c r="A50" s="1352" t="s">
        <v>2030</v>
      </c>
      <c r="B50" s="322"/>
      <c r="C50" s="130"/>
      <c r="D50" s="109"/>
      <c r="E50" s="109"/>
      <c r="F50" s="109"/>
      <c r="G50" s="109"/>
      <c r="H50" s="109"/>
      <c r="I50" s="109"/>
      <c r="J50" s="75"/>
      <c r="K50" s="75"/>
      <c r="L50" s="75"/>
      <c r="M50" s="76"/>
    </row>
    <row r="51" spans="1:13" ht="12.75" customHeight="1" x14ac:dyDescent="0.25">
      <c r="A51" s="1353" t="s">
        <v>2031</v>
      </c>
      <c r="B51" s="322"/>
      <c r="C51" s="130">
        <v>0.18</v>
      </c>
      <c r="D51" s="109"/>
      <c r="E51" s="109"/>
      <c r="F51" s="109"/>
      <c r="G51" s="109"/>
      <c r="H51" s="109"/>
      <c r="I51" s="109">
        <v>0</v>
      </c>
      <c r="J51" s="75">
        <f t="shared" si="0"/>
        <v>0</v>
      </c>
      <c r="K51" s="75">
        <f t="shared" si="1"/>
        <v>0.18</v>
      </c>
      <c r="L51" s="75">
        <v>0.16</v>
      </c>
      <c r="M51" s="76">
        <v>0.14000000000000001</v>
      </c>
    </row>
    <row r="52" spans="1:13" ht="12.75" customHeight="1" x14ac:dyDescent="0.25">
      <c r="A52" s="1353" t="s">
        <v>2032</v>
      </c>
      <c r="B52" s="322"/>
      <c r="C52" s="130">
        <v>2.8000000000000001E-2</v>
      </c>
      <c r="D52" s="109"/>
      <c r="E52" s="109"/>
      <c r="F52" s="109"/>
      <c r="G52" s="109"/>
      <c r="H52" s="109"/>
      <c r="I52" s="109">
        <v>-8.0000000000000002E-3</v>
      </c>
      <c r="J52" s="75">
        <f t="shared" si="0"/>
        <v>-8.0000000000000002E-3</v>
      </c>
      <c r="K52" s="75">
        <f t="shared" si="1"/>
        <v>0.02</v>
      </c>
      <c r="L52" s="75">
        <v>0.03</v>
      </c>
      <c r="M52" s="76">
        <v>3.2000000000000001E-2</v>
      </c>
    </row>
    <row r="53" spans="1:13" ht="12.75" customHeight="1" x14ac:dyDescent="0.25">
      <c r="A53" s="1353" t="s">
        <v>2033</v>
      </c>
      <c r="B53" s="322"/>
      <c r="C53" s="130">
        <v>1</v>
      </c>
      <c r="D53" s="109"/>
      <c r="E53" s="109"/>
      <c r="F53" s="109"/>
      <c r="G53" s="109"/>
      <c r="H53" s="109"/>
      <c r="I53" s="109">
        <v>-1</v>
      </c>
      <c r="J53" s="75">
        <f t="shared" si="0"/>
        <v>-1</v>
      </c>
      <c r="K53" s="75">
        <f t="shared" si="1"/>
        <v>0</v>
      </c>
      <c r="L53" s="75"/>
      <c r="M53" s="76"/>
    </row>
    <row r="54" spans="1:13" ht="12.75" customHeight="1" x14ac:dyDescent="0.25">
      <c r="A54" s="1353" t="s">
        <v>2034</v>
      </c>
      <c r="B54" s="322"/>
      <c r="C54" s="130">
        <v>0.5</v>
      </c>
      <c r="D54" s="109"/>
      <c r="E54" s="109"/>
      <c r="F54" s="109"/>
      <c r="G54" s="109"/>
      <c r="H54" s="109"/>
      <c r="I54" s="109">
        <v>0</v>
      </c>
      <c r="J54" s="75">
        <f t="shared" si="0"/>
        <v>0</v>
      </c>
      <c r="K54" s="75">
        <f t="shared" si="1"/>
        <v>0.5</v>
      </c>
      <c r="L54" s="75">
        <v>0.5</v>
      </c>
      <c r="M54" s="76">
        <v>0.5</v>
      </c>
    </row>
    <row r="55" spans="1:13" ht="12.75" customHeight="1" x14ac:dyDescent="0.25">
      <c r="A55" s="1353" t="s">
        <v>2035</v>
      </c>
      <c r="B55" s="322"/>
      <c r="C55" s="130">
        <v>53790875</v>
      </c>
      <c r="D55" s="109"/>
      <c r="E55" s="109"/>
      <c r="F55" s="109"/>
      <c r="G55" s="109"/>
      <c r="H55" s="109"/>
      <c r="I55" s="109">
        <v>0</v>
      </c>
      <c r="J55" s="75">
        <f t="shared" si="0"/>
        <v>0</v>
      </c>
      <c r="K55" s="75">
        <f t="shared" si="1"/>
        <v>53790875</v>
      </c>
      <c r="L55" s="75">
        <v>56910875</v>
      </c>
      <c r="M55" s="76">
        <v>60211705</v>
      </c>
    </row>
    <row r="56" spans="1:13" ht="12.75" customHeight="1" x14ac:dyDescent="0.25">
      <c r="A56" s="1353" t="s">
        <v>2036</v>
      </c>
      <c r="B56" s="922"/>
      <c r="C56" s="130">
        <v>71</v>
      </c>
      <c r="D56" s="109"/>
      <c r="E56" s="109"/>
      <c r="F56" s="109"/>
      <c r="G56" s="109"/>
      <c r="H56" s="109"/>
      <c r="I56" s="109">
        <v>0</v>
      </c>
      <c r="J56" s="75">
        <f t="shared" si="0"/>
        <v>0</v>
      </c>
      <c r="K56" s="75">
        <f t="shared" si="1"/>
        <v>71</v>
      </c>
      <c r="L56" s="75">
        <v>74</v>
      </c>
      <c r="M56" s="76">
        <v>59</v>
      </c>
    </row>
    <row r="57" spans="1:13" ht="12.75" customHeight="1" x14ac:dyDescent="0.25">
      <c r="A57" s="1353" t="s">
        <v>2037</v>
      </c>
      <c r="B57" s="322"/>
      <c r="C57" s="130">
        <v>0.05</v>
      </c>
      <c r="D57" s="109"/>
      <c r="E57" s="109"/>
      <c r="F57" s="109"/>
      <c r="G57" s="109"/>
      <c r="H57" s="109"/>
      <c r="I57" s="109">
        <v>2.4999999999999994E-2</v>
      </c>
      <c r="J57" s="75">
        <f t="shared" si="0"/>
        <v>2.4999999999999994E-2</v>
      </c>
      <c r="K57" s="75">
        <f t="shared" si="1"/>
        <v>7.4999999999999997E-2</v>
      </c>
      <c r="L57" s="75">
        <v>0.06</v>
      </c>
      <c r="M57" s="76">
        <v>0.06</v>
      </c>
    </row>
    <row r="58" spans="1:13" ht="12.75" customHeight="1" x14ac:dyDescent="0.25">
      <c r="A58" s="1353" t="s">
        <v>2038</v>
      </c>
      <c r="B58" s="322"/>
      <c r="C58" s="130">
        <v>0.08</v>
      </c>
      <c r="D58" s="109"/>
      <c r="E58" s="109"/>
      <c r="F58" s="109"/>
      <c r="G58" s="109"/>
      <c r="H58" s="109"/>
      <c r="I58" s="109">
        <v>-5.8999999999999997E-2</v>
      </c>
      <c r="J58" s="75">
        <f t="shared" si="0"/>
        <v>-5.8999999999999997E-2</v>
      </c>
      <c r="K58" s="75">
        <f t="shared" si="1"/>
        <v>2.1000000000000005E-2</v>
      </c>
      <c r="L58" s="75">
        <v>0.1</v>
      </c>
      <c r="M58" s="76">
        <v>0.1</v>
      </c>
    </row>
    <row r="59" spans="1:13" ht="12.75" customHeight="1" x14ac:dyDescent="0.25">
      <c r="A59" s="1355" t="s">
        <v>2039</v>
      </c>
      <c r="B59" s="322"/>
      <c r="C59" s="130">
        <v>1</v>
      </c>
      <c r="D59" s="109"/>
      <c r="E59" s="109"/>
      <c r="F59" s="109"/>
      <c r="G59" s="109"/>
      <c r="H59" s="109"/>
      <c r="I59" s="109">
        <v>-1</v>
      </c>
      <c r="J59" s="75">
        <f t="shared" si="0"/>
        <v>-1</v>
      </c>
      <c r="K59" s="75">
        <f t="shared" si="1"/>
        <v>0</v>
      </c>
      <c r="L59" s="75">
        <v>1</v>
      </c>
      <c r="M59" s="76">
        <v>1</v>
      </c>
    </row>
    <row r="60" spans="1:13" ht="12.75" customHeight="1" x14ac:dyDescent="0.25">
      <c r="A60" s="1356"/>
      <c r="B60" s="322"/>
      <c r="C60" s="130"/>
      <c r="D60" s="109"/>
      <c r="E60" s="109"/>
      <c r="F60" s="109"/>
      <c r="G60" s="109"/>
      <c r="H60" s="109"/>
      <c r="I60" s="109"/>
      <c r="J60" s="75"/>
      <c r="K60" s="75"/>
      <c r="L60" s="75"/>
      <c r="M60" s="76"/>
    </row>
    <row r="61" spans="1:13" ht="12.75" customHeight="1" x14ac:dyDescent="0.25">
      <c r="A61" s="827" t="s">
        <v>454</v>
      </c>
      <c r="B61" s="322"/>
      <c r="C61" s="130"/>
      <c r="D61" s="109"/>
      <c r="E61" s="109"/>
      <c r="F61" s="109"/>
      <c r="G61" s="109"/>
      <c r="H61" s="109"/>
      <c r="I61" s="109"/>
      <c r="J61" s="75"/>
      <c r="K61" s="75"/>
      <c r="L61" s="75"/>
      <c r="M61" s="76"/>
    </row>
    <row r="62" spans="1:13" ht="12.75" customHeight="1" x14ac:dyDescent="0.25">
      <c r="A62" s="828" t="s">
        <v>453</v>
      </c>
      <c r="B62" s="322"/>
      <c r="C62" s="130"/>
      <c r="D62" s="109"/>
      <c r="E62" s="109"/>
      <c r="F62" s="109"/>
      <c r="G62" s="109"/>
      <c r="H62" s="109"/>
      <c r="I62" s="109"/>
      <c r="J62" s="75"/>
      <c r="K62" s="75"/>
      <c r="L62" s="75"/>
      <c r="M62" s="76"/>
    </row>
    <row r="63" spans="1:13" ht="12.75" customHeight="1" x14ac:dyDescent="0.25">
      <c r="A63" s="1352" t="s">
        <v>2040</v>
      </c>
      <c r="B63" s="322"/>
      <c r="C63" s="130"/>
      <c r="D63" s="109"/>
      <c r="E63" s="109"/>
      <c r="F63" s="109"/>
      <c r="G63" s="109"/>
      <c r="H63" s="109"/>
      <c r="I63" s="109"/>
      <c r="J63" s="75"/>
      <c r="K63" s="75"/>
      <c r="L63" s="75"/>
      <c r="M63" s="76"/>
    </row>
    <row r="64" spans="1:13" ht="12.75" customHeight="1" x14ac:dyDescent="0.25">
      <c r="A64" s="1353" t="s">
        <v>2041</v>
      </c>
      <c r="B64" s="322"/>
      <c r="C64" s="130">
        <v>9</v>
      </c>
      <c r="D64" s="109"/>
      <c r="E64" s="109"/>
      <c r="F64" s="109"/>
      <c r="G64" s="109"/>
      <c r="H64" s="109"/>
      <c r="I64" s="109">
        <v>0</v>
      </c>
      <c r="J64" s="75">
        <f t="shared" si="0"/>
        <v>0</v>
      </c>
      <c r="K64" s="75">
        <f t="shared" si="1"/>
        <v>9</v>
      </c>
      <c r="L64" s="75">
        <v>9</v>
      </c>
      <c r="M64" s="76">
        <v>9</v>
      </c>
    </row>
    <row r="65" spans="1:13" ht="12.75" customHeight="1" x14ac:dyDescent="0.25">
      <c r="A65" s="1353" t="s">
        <v>2042</v>
      </c>
      <c r="B65" s="322"/>
      <c r="C65" s="130">
        <v>43343</v>
      </c>
      <c r="D65" s="109"/>
      <c r="E65" s="109"/>
      <c r="F65" s="109"/>
      <c r="G65" s="109"/>
      <c r="H65" s="109"/>
      <c r="I65" s="109">
        <v>0</v>
      </c>
      <c r="J65" s="75">
        <f t="shared" si="0"/>
        <v>0</v>
      </c>
      <c r="K65" s="75">
        <f t="shared" si="1"/>
        <v>43343</v>
      </c>
      <c r="L65" s="75">
        <v>43343</v>
      </c>
      <c r="M65" s="76">
        <v>43343</v>
      </c>
    </row>
    <row r="66" spans="1:13" ht="12.75" customHeight="1" x14ac:dyDescent="0.25">
      <c r="A66" s="1353" t="s">
        <v>2043</v>
      </c>
      <c r="B66" s="322"/>
      <c r="C66" s="130">
        <v>1</v>
      </c>
      <c r="D66" s="109"/>
      <c r="E66" s="109"/>
      <c r="F66" s="109"/>
      <c r="G66" s="109"/>
      <c r="H66" s="109"/>
      <c r="I66" s="109">
        <v>0</v>
      </c>
      <c r="J66" s="75">
        <f t="shared" si="0"/>
        <v>0</v>
      </c>
      <c r="K66" s="75">
        <f t="shared" si="1"/>
        <v>1</v>
      </c>
      <c r="L66" s="75">
        <v>1</v>
      </c>
      <c r="M66" s="76">
        <v>1</v>
      </c>
    </row>
    <row r="67" spans="1:13" ht="12.75" customHeight="1" x14ac:dyDescent="0.25">
      <c r="A67" s="1353" t="s">
        <v>2044</v>
      </c>
      <c r="B67" s="322"/>
      <c r="C67" s="130">
        <v>2000000</v>
      </c>
      <c r="D67" s="109"/>
      <c r="E67" s="109"/>
      <c r="F67" s="109"/>
      <c r="G67" s="109"/>
      <c r="H67" s="109"/>
      <c r="I67" s="109">
        <v>-2000000</v>
      </c>
      <c r="J67" s="75">
        <f t="shared" si="0"/>
        <v>-2000000</v>
      </c>
      <c r="K67" s="75">
        <f t="shared" si="1"/>
        <v>0</v>
      </c>
      <c r="L67" s="75" t="s">
        <v>2139</v>
      </c>
      <c r="M67" s="76" t="s">
        <v>2139</v>
      </c>
    </row>
    <row r="68" spans="1:13" ht="12.75" customHeight="1" x14ac:dyDescent="0.25">
      <c r="A68" s="1353" t="s">
        <v>2045</v>
      </c>
      <c r="B68" s="322"/>
      <c r="C68" s="130">
        <v>1</v>
      </c>
      <c r="D68" s="109"/>
      <c r="E68" s="109"/>
      <c r="F68" s="109"/>
      <c r="G68" s="109"/>
      <c r="H68" s="109"/>
      <c r="I68" s="109">
        <v>0</v>
      </c>
      <c r="J68" s="75">
        <f t="shared" si="0"/>
        <v>0</v>
      </c>
      <c r="K68" s="75">
        <f t="shared" si="1"/>
        <v>1</v>
      </c>
      <c r="L68" s="75">
        <v>1</v>
      </c>
      <c r="M68" s="76">
        <v>1</v>
      </c>
    </row>
    <row r="69" spans="1:13" ht="12.75" customHeight="1" x14ac:dyDescent="0.25">
      <c r="A69" s="1353" t="s">
        <v>2046</v>
      </c>
      <c r="B69" s="322"/>
      <c r="C69" s="130">
        <v>5</v>
      </c>
      <c r="D69" s="109"/>
      <c r="E69" s="109"/>
      <c r="F69" s="109"/>
      <c r="G69" s="109"/>
      <c r="H69" s="109"/>
      <c r="I69" s="109">
        <v>0</v>
      </c>
      <c r="J69" s="75">
        <f t="shared" si="0"/>
        <v>0</v>
      </c>
      <c r="K69" s="75">
        <f t="shared" si="1"/>
        <v>5</v>
      </c>
      <c r="L69" s="75">
        <v>5</v>
      </c>
      <c r="M69" s="76">
        <v>5</v>
      </c>
    </row>
    <row r="70" spans="1:13" ht="12.75" customHeight="1" x14ac:dyDescent="0.25">
      <c r="A70" s="1353" t="s">
        <v>2047</v>
      </c>
      <c r="B70" s="322"/>
      <c r="C70" s="130">
        <v>96200</v>
      </c>
      <c r="D70" s="109"/>
      <c r="E70" s="109"/>
      <c r="F70" s="109"/>
      <c r="G70" s="109"/>
      <c r="H70" s="109"/>
      <c r="I70" s="109"/>
      <c r="J70" s="75">
        <f t="shared" si="0"/>
        <v>0</v>
      </c>
      <c r="K70" s="75">
        <f t="shared" si="1"/>
        <v>96200</v>
      </c>
      <c r="L70" s="75">
        <v>96400</v>
      </c>
      <c r="M70" s="76">
        <v>96600</v>
      </c>
    </row>
    <row r="71" spans="1:13" ht="12.75" customHeight="1" x14ac:dyDescent="0.25">
      <c r="A71" s="1353" t="s">
        <v>2048</v>
      </c>
      <c r="B71" s="322"/>
      <c r="C71" s="130">
        <v>0.92</v>
      </c>
      <c r="D71" s="109"/>
      <c r="E71" s="109"/>
      <c r="F71" s="109"/>
      <c r="G71" s="109"/>
      <c r="H71" s="109"/>
      <c r="I71" s="109">
        <v>0</v>
      </c>
      <c r="J71" s="75">
        <f t="shared" si="0"/>
        <v>0</v>
      </c>
      <c r="K71" s="75">
        <f t="shared" si="1"/>
        <v>0.92</v>
      </c>
      <c r="L71" s="75">
        <v>0.95</v>
      </c>
      <c r="M71" s="76">
        <v>0.95</v>
      </c>
    </row>
    <row r="72" spans="1:13" ht="12.75" customHeight="1" thickBot="1" x14ac:dyDescent="0.3">
      <c r="A72" s="1353" t="s">
        <v>2049</v>
      </c>
      <c r="B72" s="322"/>
      <c r="C72" s="130">
        <v>0.85</v>
      </c>
      <c r="D72" s="109"/>
      <c r="E72" s="109"/>
      <c r="F72" s="109"/>
      <c r="G72" s="109"/>
      <c r="H72" s="109"/>
      <c r="I72" s="109">
        <v>0</v>
      </c>
      <c r="J72" s="75">
        <f t="shared" si="0"/>
        <v>0</v>
      </c>
      <c r="K72" s="75">
        <f t="shared" si="1"/>
        <v>0.85</v>
      </c>
      <c r="L72" s="75">
        <v>0.85</v>
      </c>
      <c r="M72" s="76">
        <v>0.85</v>
      </c>
    </row>
    <row r="73" spans="1:13" ht="22.5" customHeight="1" thickBot="1" x14ac:dyDescent="0.3">
      <c r="A73" s="1360" t="s">
        <v>2050</v>
      </c>
      <c r="B73" s="322"/>
      <c r="C73" s="130"/>
      <c r="D73" s="109"/>
      <c r="E73" s="109"/>
      <c r="F73" s="109"/>
      <c r="G73" s="109"/>
      <c r="H73" s="109"/>
      <c r="I73" s="109"/>
      <c r="J73" s="75"/>
      <c r="K73" s="75"/>
      <c r="L73" s="75">
        <v>1</v>
      </c>
      <c r="M73" s="76">
        <v>1</v>
      </c>
    </row>
    <row r="74" spans="1:13" ht="12.75" customHeight="1" x14ac:dyDescent="0.25">
      <c r="A74" s="1355" t="s">
        <v>2051</v>
      </c>
      <c r="B74" s="322"/>
      <c r="C74" s="130">
        <v>22</v>
      </c>
      <c r="D74" s="109"/>
      <c r="E74" s="109"/>
      <c r="F74" s="109"/>
      <c r="G74" s="109"/>
      <c r="H74" s="109"/>
      <c r="I74" s="109">
        <v>0</v>
      </c>
      <c r="J74" s="75">
        <f t="shared" ref="J74:J136" si="2">SUM(E74:I74)</f>
        <v>0</v>
      </c>
      <c r="K74" s="75">
        <f t="shared" ref="K74:K136" si="3">IF(D74=0,C74+J74,D74+J74)</f>
        <v>22</v>
      </c>
      <c r="L74" s="75">
        <v>24</v>
      </c>
      <c r="M74" s="76">
        <v>24</v>
      </c>
    </row>
    <row r="75" spans="1:13" ht="12.75" customHeight="1" x14ac:dyDescent="0.25">
      <c r="A75" s="1355" t="s">
        <v>2052</v>
      </c>
      <c r="B75" s="322"/>
      <c r="C75" s="130">
        <v>596</v>
      </c>
      <c r="D75" s="109"/>
      <c r="E75" s="109"/>
      <c r="F75" s="109"/>
      <c r="G75" s="109"/>
      <c r="H75" s="109"/>
      <c r="I75" s="109">
        <v>0</v>
      </c>
      <c r="J75" s="75">
        <f t="shared" si="2"/>
        <v>0</v>
      </c>
      <c r="K75" s="75">
        <f t="shared" si="3"/>
        <v>596</v>
      </c>
      <c r="L75" s="75">
        <v>655</v>
      </c>
      <c r="M75" s="76">
        <v>655</v>
      </c>
    </row>
    <row r="76" spans="1:13" ht="12.75" customHeight="1" x14ac:dyDescent="0.25">
      <c r="A76" s="1355" t="s">
        <v>2053</v>
      </c>
      <c r="B76" s="322"/>
      <c r="C76" s="130">
        <v>596</v>
      </c>
      <c r="D76" s="109"/>
      <c r="E76" s="109"/>
      <c r="F76" s="109"/>
      <c r="G76" s="109"/>
      <c r="H76" s="109"/>
      <c r="I76" s="109">
        <v>0</v>
      </c>
      <c r="J76" s="75">
        <f t="shared" si="2"/>
        <v>0</v>
      </c>
      <c r="K76" s="75">
        <f t="shared" si="3"/>
        <v>596</v>
      </c>
      <c r="L76" s="75">
        <v>655</v>
      </c>
      <c r="M76" s="76">
        <v>655</v>
      </c>
    </row>
    <row r="77" spans="1:13" ht="12.75" customHeight="1" x14ac:dyDescent="0.25">
      <c r="A77" s="1352" t="s">
        <v>2054</v>
      </c>
      <c r="B77" s="322"/>
      <c r="C77" s="130"/>
      <c r="D77" s="109"/>
      <c r="E77" s="109"/>
      <c r="F77" s="109"/>
      <c r="G77" s="109"/>
      <c r="H77" s="109"/>
      <c r="I77" s="109"/>
      <c r="J77" s="75"/>
      <c r="K77" s="75"/>
      <c r="L77" s="75"/>
      <c r="M77" s="76"/>
    </row>
    <row r="78" spans="1:13" ht="12.75" customHeight="1" x14ac:dyDescent="0.25">
      <c r="A78" s="1357" t="s">
        <v>2055</v>
      </c>
      <c r="B78" s="322"/>
      <c r="C78" s="130">
        <v>42490</v>
      </c>
      <c r="D78" s="109"/>
      <c r="E78" s="109"/>
      <c r="F78" s="109"/>
      <c r="G78" s="109"/>
      <c r="H78" s="109"/>
      <c r="I78" s="109">
        <v>0</v>
      </c>
      <c r="J78" s="75">
        <f t="shared" si="2"/>
        <v>0</v>
      </c>
      <c r="K78" s="75">
        <f t="shared" si="3"/>
        <v>42490</v>
      </c>
      <c r="L78" s="75">
        <v>42490</v>
      </c>
      <c r="M78" s="76">
        <v>42490</v>
      </c>
    </row>
    <row r="79" spans="1:13" ht="12.75" customHeight="1" x14ac:dyDescent="0.25">
      <c r="A79" s="1357" t="s">
        <v>2056</v>
      </c>
      <c r="B79" s="322"/>
      <c r="C79" s="130">
        <v>35</v>
      </c>
      <c r="D79" s="109"/>
      <c r="E79" s="109"/>
      <c r="F79" s="109"/>
      <c r="G79" s="109"/>
      <c r="H79" s="109"/>
      <c r="I79" s="109">
        <v>-35</v>
      </c>
      <c r="J79" s="75">
        <f t="shared" si="2"/>
        <v>-35</v>
      </c>
      <c r="K79" s="75">
        <f t="shared" si="3"/>
        <v>0</v>
      </c>
      <c r="L79" s="75">
        <v>0</v>
      </c>
      <c r="M79" s="76">
        <v>0</v>
      </c>
    </row>
    <row r="80" spans="1:13" ht="12.75" customHeight="1" x14ac:dyDescent="0.25">
      <c r="A80" s="1357" t="s">
        <v>2057</v>
      </c>
      <c r="B80" s="322"/>
      <c r="C80" s="130">
        <v>7</v>
      </c>
      <c r="D80" s="109"/>
      <c r="E80" s="109"/>
      <c r="F80" s="109"/>
      <c r="G80" s="109"/>
      <c r="H80" s="109"/>
      <c r="I80" s="109">
        <v>0</v>
      </c>
      <c r="J80" s="75">
        <f t="shared" si="2"/>
        <v>0</v>
      </c>
      <c r="K80" s="75">
        <f t="shared" si="3"/>
        <v>7</v>
      </c>
      <c r="L80" s="75">
        <v>7</v>
      </c>
      <c r="M80" s="76">
        <v>7</v>
      </c>
    </row>
    <row r="81" spans="1:13" ht="12.75" customHeight="1" x14ac:dyDescent="0.25">
      <c r="A81" s="1352" t="s">
        <v>2058</v>
      </c>
      <c r="B81" s="322"/>
      <c r="C81" s="130"/>
      <c r="D81" s="109"/>
      <c r="E81" s="109"/>
      <c r="F81" s="109"/>
      <c r="G81" s="109"/>
      <c r="H81" s="109"/>
      <c r="I81" s="109"/>
      <c r="J81" s="75"/>
      <c r="K81" s="75"/>
      <c r="L81" s="75"/>
      <c r="M81" s="76"/>
    </row>
    <row r="82" spans="1:13" ht="12.75" customHeight="1" x14ac:dyDescent="0.25">
      <c r="A82" s="1357" t="s">
        <v>2059</v>
      </c>
      <c r="B82" s="322"/>
      <c r="C82" s="130">
        <v>4</v>
      </c>
      <c r="D82" s="109"/>
      <c r="E82" s="109"/>
      <c r="F82" s="109"/>
      <c r="G82" s="109"/>
      <c r="H82" s="109"/>
      <c r="I82" s="109">
        <v>0</v>
      </c>
      <c r="J82" s="75">
        <f t="shared" si="2"/>
        <v>0</v>
      </c>
      <c r="K82" s="75">
        <f t="shared" si="3"/>
        <v>4</v>
      </c>
      <c r="L82" s="75">
        <v>4</v>
      </c>
      <c r="M82" s="76">
        <v>4</v>
      </c>
    </row>
    <row r="83" spans="1:13" ht="12.75" customHeight="1" x14ac:dyDescent="0.25">
      <c r="A83" s="1357" t="s">
        <v>2060</v>
      </c>
      <c r="B83" s="322"/>
      <c r="C83" s="130">
        <v>4</v>
      </c>
      <c r="D83" s="109"/>
      <c r="E83" s="109"/>
      <c r="F83" s="109"/>
      <c r="G83" s="109"/>
      <c r="H83" s="109"/>
      <c r="I83" s="109">
        <v>0</v>
      </c>
      <c r="J83" s="75">
        <f t="shared" si="2"/>
        <v>0</v>
      </c>
      <c r="K83" s="75">
        <f t="shared" si="3"/>
        <v>4</v>
      </c>
      <c r="L83" s="75">
        <v>4</v>
      </c>
      <c r="M83" s="76">
        <v>4</v>
      </c>
    </row>
    <row r="84" spans="1:13" ht="12.75" customHeight="1" x14ac:dyDescent="0.25">
      <c r="A84" s="1357" t="s">
        <v>2061</v>
      </c>
      <c r="B84" s="322"/>
      <c r="C84" s="130">
        <v>12</v>
      </c>
      <c r="D84" s="109"/>
      <c r="E84" s="109"/>
      <c r="F84" s="109"/>
      <c r="G84" s="109"/>
      <c r="H84" s="109"/>
      <c r="I84" s="109">
        <v>0</v>
      </c>
      <c r="J84" s="75">
        <f t="shared" si="2"/>
        <v>0</v>
      </c>
      <c r="K84" s="75">
        <f t="shared" si="3"/>
        <v>12</v>
      </c>
      <c r="L84" s="75">
        <v>12</v>
      </c>
      <c r="M84" s="76">
        <v>12</v>
      </c>
    </row>
    <row r="85" spans="1:13" ht="12.75" customHeight="1" x14ac:dyDescent="0.25">
      <c r="A85" s="1357" t="s">
        <v>2062</v>
      </c>
      <c r="B85" s="322"/>
      <c r="C85" s="130">
        <v>4</v>
      </c>
      <c r="D85" s="109"/>
      <c r="E85" s="109"/>
      <c r="F85" s="109"/>
      <c r="G85" s="109"/>
      <c r="H85" s="109"/>
      <c r="I85" s="109">
        <v>0</v>
      </c>
      <c r="J85" s="75">
        <f t="shared" si="2"/>
        <v>0</v>
      </c>
      <c r="K85" s="75">
        <f t="shared" si="3"/>
        <v>4</v>
      </c>
      <c r="L85" s="75">
        <v>4</v>
      </c>
      <c r="M85" s="76">
        <v>4</v>
      </c>
    </row>
    <row r="86" spans="1:13" ht="12.75" customHeight="1" x14ac:dyDescent="0.25">
      <c r="A86" s="1357" t="s">
        <v>2063</v>
      </c>
      <c r="B86" s="322"/>
      <c r="C86" s="130">
        <v>35</v>
      </c>
      <c r="D86" s="109"/>
      <c r="E86" s="109"/>
      <c r="F86" s="109"/>
      <c r="G86" s="109"/>
      <c r="H86" s="109"/>
      <c r="I86" s="109">
        <v>0</v>
      </c>
      <c r="J86" s="75">
        <f t="shared" si="2"/>
        <v>0</v>
      </c>
      <c r="K86" s="75">
        <f t="shared" si="3"/>
        <v>35</v>
      </c>
      <c r="L86" s="75">
        <v>35</v>
      </c>
      <c r="M86" s="76">
        <v>35</v>
      </c>
    </row>
    <row r="87" spans="1:13" ht="12.75" customHeight="1" x14ac:dyDescent="0.25">
      <c r="A87" s="1357" t="s">
        <v>2064</v>
      </c>
      <c r="B87" s="322"/>
      <c r="C87" s="130">
        <v>12</v>
      </c>
      <c r="D87" s="109"/>
      <c r="E87" s="109"/>
      <c r="F87" s="109"/>
      <c r="G87" s="109"/>
      <c r="H87" s="109"/>
      <c r="I87" s="109">
        <v>0</v>
      </c>
      <c r="J87" s="75">
        <f t="shared" si="2"/>
        <v>0</v>
      </c>
      <c r="K87" s="75">
        <f t="shared" si="3"/>
        <v>12</v>
      </c>
      <c r="L87" s="75">
        <v>12</v>
      </c>
      <c r="M87" s="76">
        <v>12</v>
      </c>
    </row>
    <row r="88" spans="1:13" ht="12.75" customHeight="1" x14ac:dyDescent="0.25">
      <c r="A88" s="1352" t="s">
        <v>2065</v>
      </c>
      <c r="B88" s="322"/>
      <c r="C88" s="130"/>
      <c r="D88" s="109"/>
      <c r="E88" s="109"/>
      <c r="F88" s="109"/>
      <c r="G88" s="109"/>
      <c r="H88" s="109"/>
      <c r="I88" s="109"/>
      <c r="J88" s="75"/>
      <c r="K88" s="75"/>
      <c r="L88" s="75"/>
      <c r="M88" s="76"/>
    </row>
    <row r="89" spans="1:13" ht="12.75" customHeight="1" x14ac:dyDescent="0.25">
      <c r="A89" s="1357" t="s">
        <v>2066</v>
      </c>
      <c r="B89" s="322"/>
      <c r="C89" s="130">
        <v>26000</v>
      </c>
      <c r="D89" s="109"/>
      <c r="E89" s="109"/>
      <c r="F89" s="109"/>
      <c r="G89" s="109"/>
      <c r="H89" s="109"/>
      <c r="I89" s="109">
        <v>0</v>
      </c>
      <c r="J89" s="75">
        <f t="shared" si="2"/>
        <v>0</v>
      </c>
      <c r="K89" s="75">
        <f t="shared" si="3"/>
        <v>26000</v>
      </c>
      <c r="L89" s="75">
        <v>26500</v>
      </c>
      <c r="M89" s="76">
        <v>27000</v>
      </c>
    </row>
    <row r="90" spans="1:13" ht="12.75" customHeight="1" x14ac:dyDescent="0.25">
      <c r="A90" s="1357" t="s">
        <v>2067</v>
      </c>
      <c r="B90" s="322"/>
      <c r="C90" s="130">
        <v>1</v>
      </c>
      <c r="D90" s="109"/>
      <c r="E90" s="109"/>
      <c r="F90" s="109"/>
      <c r="G90" s="109"/>
      <c r="H90" s="109"/>
      <c r="I90" s="109">
        <v>0</v>
      </c>
      <c r="J90" s="75">
        <f t="shared" si="2"/>
        <v>0</v>
      </c>
      <c r="K90" s="75">
        <f t="shared" si="3"/>
        <v>1</v>
      </c>
      <c r="L90" s="75">
        <v>1</v>
      </c>
      <c r="M90" s="76">
        <v>1</v>
      </c>
    </row>
    <row r="91" spans="1:13" ht="12.75" customHeight="1" x14ac:dyDescent="0.25">
      <c r="A91" s="1357" t="s">
        <v>2068</v>
      </c>
      <c r="B91" s="322"/>
      <c r="C91" s="130">
        <v>43190</v>
      </c>
      <c r="D91" s="109"/>
      <c r="E91" s="109"/>
      <c r="F91" s="109"/>
      <c r="G91" s="109"/>
      <c r="H91" s="109"/>
      <c r="I91" s="109">
        <v>0</v>
      </c>
      <c r="J91" s="75">
        <f t="shared" si="2"/>
        <v>0</v>
      </c>
      <c r="K91" s="75">
        <f t="shared" si="3"/>
        <v>43190</v>
      </c>
      <c r="L91" s="75">
        <v>43190</v>
      </c>
      <c r="M91" s="76">
        <v>43190</v>
      </c>
    </row>
    <row r="92" spans="1:13" ht="12.75" customHeight="1" x14ac:dyDescent="0.25">
      <c r="A92" s="1357" t="s">
        <v>2069</v>
      </c>
      <c r="B92" s="322"/>
      <c r="C92" s="130">
        <v>42521</v>
      </c>
      <c r="D92" s="109"/>
      <c r="E92" s="109"/>
      <c r="F92" s="109"/>
      <c r="G92" s="109"/>
      <c r="H92" s="109"/>
      <c r="I92" s="109">
        <v>0</v>
      </c>
      <c r="J92" s="75">
        <f t="shared" si="2"/>
        <v>0</v>
      </c>
      <c r="K92" s="75">
        <f t="shared" si="3"/>
        <v>42521</v>
      </c>
      <c r="L92" s="75">
        <v>42521</v>
      </c>
      <c r="M92" s="76">
        <v>42521</v>
      </c>
    </row>
    <row r="93" spans="1:13" ht="12.75" customHeight="1" x14ac:dyDescent="0.25">
      <c r="A93" s="1357" t="s">
        <v>2070</v>
      </c>
      <c r="B93" s="322"/>
      <c r="C93" s="130">
        <v>41333</v>
      </c>
      <c r="D93" s="109"/>
      <c r="E93" s="109"/>
      <c r="F93" s="109"/>
      <c r="G93" s="109"/>
      <c r="H93" s="109"/>
      <c r="I93" s="109">
        <v>0</v>
      </c>
      <c r="J93" s="75">
        <f t="shared" si="2"/>
        <v>0</v>
      </c>
      <c r="K93" s="75">
        <f t="shared" si="3"/>
        <v>41333</v>
      </c>
      <c r="L93" s="75">
        <v>41333</v>
      </c>
      <c r="M93" s="76">
        <v>41333</v>
      </c>
    </row>
    <row r="94" spans="1:13" ht="12.75" customHeight="1" x14ac:dyDescent="0.25">
      <c r="A94" s="1357" t="s">
        <v>2071</v>
      </c>
      <c r="B94" s="322"/>
      <c r="C94" s="130">
        <v>12</v>
      </c>
      <c r="D94" s="109"/>
      <c r="E94" s="109"/>
      <c r="F94" s="109"/>
      <c r="G94" s="109"/>
      <c r="H94" s="109"/>
      <c r="I94" s="109">
        <v>0</v>
      </c>
      <c r="J94" s="75">
        <f t="shared" si="2"/>
        <v>0</v>
      </c>
      <c r="K94" s="75">
        <f t="shared" si="3"/>
        <v>12</v>
      </c>
      <c r="L94" s="75">
        <v>12</v>
      </c>
      <c r="M94" s="76">
        <v>12</v>
      </c>
    </row>
    <row r="95" spans="1:13" ht="12.75" customHeight="1" x14ac:dyDescent="0.25">
      <c r="A95" s="1357" t="s">
        <v>2072</v>
      </c>
      <c r="B95" s="322"/>
      <c r="C95" s="130">
        <v>18.3</v>
      </c>
      <c r="D95" s="109"/>
      <c r="E95" s="109"/>
      <c r="F95" s="109"/>
      <c r="G95" s="109"/>
      <c r="H95" s="109"/>
      <c r="I95" s="109">
        <v>0</v>
      </c>
      <c r="J95" s="75">
        <f t="shared" si="2"/>
        <v>0</v>
      </c>
      <c r="K95" s="75">
        <f t="shared" si="3"/>
        <v>18.3</v>
      </c>
      <c r="L95" s="75">
        <v>18.3</v>
      </c>
      <c r="M95" s="76">
        <v>18.3</v>
      </c>
    </row>
    <row r="96" spans="1:13" ht="12.75" customHeight="1" x14ac:dyDescent="0.25">
      <c r="A96" s="1357" t="s">
        <v>2073</v>
      </c>
      <c r="B96" s="322"/>
      <c r="C96" s="130">
        <v>1.6</v>
      </c>
      <c r="D96" s="109"/>
      <c r="E96" s="109"/>
      <c r="F96" s="109"/>
      <c r="G96" s="109"/>
      <c r="H96" s="109"/>
      <c r="I96" s="109">
        <v>0</v>
      </c>
      <c r="J96" s="75">
        <f t="shared" si="2"/>
        <v>0</v>
      </c>
      <c r="K96" s="75">
        <f t="shared" si="3"/>
        <v>1.6</v>
      </c>
      <c r="L96" s="75">
        <v>1.6</v>
      </c>
      <c r="M96" s="76">
        <v>1.6</v>
      </c>
    </row>
    <row r="97" spans="1:13" ht="12.75" customHeight="1" x14ac:dyDescent="0.25">
      <c r="A97" s="1357" t="s">
        <v>2074</v>
      </c>
      <c r="B97" s="322"/>
      <c r="C97" s="130">
        <v>0.39400000000000002</v>
      </c>
      <c r="D97" s="109"/>
      <c r="E97" s="109"/>
      <c r="F97" s="109"/>
      <c r="G97" s="109"/>
      <c r="H97" s="109"/>
      <c r="I97" s="109">
        <v>0</v>
      </c>
      <c r="J97" s="75">
        <f t="shared" si="2"/>
        <v>0</v>
      </c>
      <c r="K97" s="75">
        <f t="shared" si="3"/>
        <v>0.39400000000000002</v>
      </c>
      <c r="L97" s="75">
        <v>0.39400000000000002</v>
      </c>
      <c r="M97" s="76">
        <v>0.39400000000000002</v>
      </c>
    </row>
    <row r="98" spans="1:13" ht="12.75" customHeight="1" x14ac:dyDescent="0.25">
      <c r="A98" s="1357" t="s">
        <v>2075</v>
      </c>
      <c r="B98" s="322"/>
      <c r="C98" s="130">
        <v>1</v>
      </c>
      <c r="D98" s="109"/>
      <c r="E98" s="109"/>
      <c r="F98" s="109"/>
      <c r="G98" s="109"/>
      <c r="H98" s="109"/>
      <c r="I98" s="109">
        <v>0</v>
      </c>
      <c r="J98" s="75">
        <f t="shared" si="2"/>
        <v>0</v>
      </c>
      <c r="K98" s="75">
        <f t="shared" si="3"/>
        <v>1</v>
      </c>
      <c r="L98" s="75">
        <v>1</v>
      </c>
      <c r="M98" s="76">
        <v>1</v>
      </c>
    </row>
    <row r="99" spans="1:13" ht="12.75" customHeight="1" x14ac:dyDescent="0.25">
      <c r="A99" s="1357" t="s">
        <v>2076</v>
      </c>
      <c r="B99" s="322"/>
      <c r="C99" s="130">
        <v>1</v>
      </c>
      <c r="D99" s="109"/>
      <c r="E99" s="109"/>
      <c r="F99" s="109"/>
      <c r="G99" s="109"/>
      <c r="H99" s="109"/>
      <c r="I99" s="109">
        <v>0</v>
      </c>
      <c r="J99" s="75">
        <f t="shared" si="2"/>
        <v>0</v>
      </c>
      <c r="K99" s="75">
        <f t="shared" si="3"/>
        <v>1</v>
      </c>
      <c r="L99" s="75">
        <v>1</v>
      </c>
      <c r="M99" s="76">
        <v>1</v>
      </c>
    </row>
    <row r="100" spans="1:13" ht="12.75" customHeight="1" x14ac:dyDescent="0.25">
      <c r="A100" s="1357" t="s">
        <v>2077</v>
      </c>
      <c r="B100" s="322"/>
      <c r="C100" s="130">
        <v>1</v>
      </c>
      <c r="D100" s="109"/>
      <c r="E100" s="109"/>
      <c r="F100" s="109"/>
      <c r="G100" s="109"/>
      <c r="H100" s="109"/>
      <c r="I100" s="109">
        <v>0</v>
      </c>
      <c r="J100" s="75">
        <f t="shared" si="2"/>
        <v>0</v>
      </c>
      <c r="K100" s="75">
        <f t="shared" si="3"/>
        <v>1</v>
      </c>
      <c r="L100" s="75">
        <v>1</v>
      </c>
      <c r="M100" s="76">
        <v>1</v>
      </c>
    </row>
    <row r="101" spans="1:13" ht="12.75" customHeight="1" x14ac:dyDescent="0.25">
      <c r="A101" s="1357" t="s">
        <v>2078</v>
      </c>
      <c r="B101" s="322"/>
      <c r="C101" s="130">
        <v>1</v>
      </c>
      <c r="D101" s="109"/>
      <c r="E101" s="109"/>
      <c r="F101" s="109"/>
      <c r="G101" s="109"/>
      <c r="H101" s="109"/>
      <c r="I101" s="109">
        <v>0</v>
      </c>
      <c r="J101" s="75">
        <f t="shared" si="2"/>
        <v>0</v>
      </c>
      <c r="K101" s="75">
        <f t="shared" si="3"/>
        <v>1</v>
      </c>
      <c r="L101" s="75">
        <v>1</v>
      </c>
      <c r="M101" s="76">
        <v>1</v>
      </c>
    </row>
    <row r="102" spans="1:13" ht="12.75" customHeight="1" x14ac:dyDescent="0.25">
      <c r="A102" s="1357" t="s">
        <v>2079</v>
      </c>
      <c r="B102" s="322"/>
      <c r="C102" s="130">
        <v>17</v>
      </c>
      <c r="D102" s="109"/>
      <c r="E102" s="109"/>
      <c r="F102" s="109"/>
      <c r="G102" s="109"/>
      <c r="H102" s="109"/>
      <c r="I102" s="109">
        <v>0</v>
      </c>
      <c r="J102" s="75">
        <f t="shared" si="2"/>
        <v>0</v>
      </c>
      <c r="K102" s="75">
        <f t="shared" si="3"/>
        <v>17</v>
      </c>
      <c r="L102" s="75">
        <v>17</v>
      </c>
      <c r="M102" s="76">
        <v>17</v>
      </c>
    </row>
    <row r="103" spans="1:13" ht="12.75" customHeight="1" x14ac:dyDescent="0.25">
      <c r="A103" s="1357" t="s">
        <v>2080</v>
      </c>
      <c r="B103" s="322"/>
      <c r="C103" s="130">
        <v>1</v>
      </c>
      <c r="D103" s="109"/>
      <c r="E103" s="109"/>
      <c r="F103" s="109"/>
      <c r="G103" s="109"/>
      <c r="H103" s="109"/>
      <c r="I103" s="109">
        <v>0</v>
      </c>
      <c r="J103" s="75">
        <f t="shared" si="2"/>
        <v>0</v>
      </c>
      <c r="K103" s="75">
        <f t="shared" si="3"/>
        <v>1</v>
      </c>
      <c r="L103" s="75">
        <v>1</v>
      </c>
      <c r="M103" s="76">
        <v>1</v>
      </c>
    </row>
    <row r="104" spans="1:13" ht="12.75" customHeight="1" x14ac:dyDescent="0.25">
      <c r="A104" s="1357" t="s">
        <v>2081</v>
      </c>
      <c r="B104" s="322"/>
      <c r="C104" s="130">
        <v>1</v>
      </c>
      <c r="D104" s="109"/>
      <c r="E104" s="109"/>
      <c r="F104" s="109"/>
      <c r="G104" s="109"/>
      <c r="H104" s="109"/>
      <c r="I104" s="109">
        <v>0</v>
      </c>
      <c r="J104" s="75">
        <f t="shared" si="2"/>
        <v>0</v>
      </c>
      <c r="K104" s="75">
        <f t="shared" si="3"/>
        <v>1</v>
      </c>
      <c r="L104" s="75">
        <v>1</v>
      </c>
      <c r="M104" s="76">
        <v>1</v>
      </c>
    </row>
    <row r="105" spans="1:13" ht="12.75" customHeight="1" x14ac:dyDescent="0.25">
      <c r="A105" s="1357" t="s">
        <v>2082</v>
      </c>
      <c r="B105" s="322"/>
      <c r="C105" s="130">
        <v>0</v>
      </c>
      <c r="D105" s="109"/>
      <c r="E105" s="109"/>
      <c r="F105" s="109"/>
      <c r="G105" s="109"/>
      <c r="H105" s="109"/>
      <c r="I105" s="109">
        <v>0</v>
      </c>
      <c r="J105" s="75">
        <f t="shared" si="2"/>
        <v>0</v>
      </c>
      <c r="K105" s="75">
        <f t="shared" si="3"/>
        <v>0</v>
      </c>
      <c r="L105" s="75">
        <v>0</v>
      </c>
      <c r="M105" s="76">
        <v>0</v>
      </c>
    </row>
    <row r="106" spans="1:13" ht="12.75" customHeight="1" x14ac:dyDescent="0.25">
      <c r="A106" s="1357" t="s">
        <v>2083</v>
      </c>
      <c r="B106" s="322"/>
      <c r="C106" s="130">
        <v>1</v>
      </c>
      <c r="D106" s="109"/>
      <c r="E106" s="109"/>
      <c r="F106" s="109"/>
      <c r="G106" s="109"/>
      <c r="H106" s="109"/>
      <c r="I106" s="109">
        <v>0</v>
      </c>
      <c r="J106" s="75">
        <f t="shared" si="2"/>
        <v>0</v>
      </c>
      <c r="K106" s="75">
        <f t="shared" si="3"/>
        <v>1</v>
      </c>
      <c r="L106" s="75">
        <v>1</v>
      </c>
      <c r="M106" s="76">
        <v>1</v>
      </c>
    </row>
    <row r="107" spans="1:13" ht="12.75" customHeight="1" x14ac:dyDescent="0.25">
      <c r="A107" s="1357" t="s">
        <v>2084</v>
      </c>
      <c r="B107" s="322"/>
      <c r="C107" s="130">
        <v>1</v>
      </c>
      <c r="D107" s="109"/>
      <c r="E107" s="109"/>
      <c r="F107" s="109"/>
      <c r="G107" s="109"/>
      <c r="H107" s="109"/>
      <c r="I107" s="109">
        <v>0</v>
      </c>
      <c r="J107" s="75">
        <f t="shared" si="2"/>
        <v>0</v>
      </c>
      <c r="K107" s="75">
        <f t="shared" si="3"/>
        <v>1</v>
      </c>
      <c r="L107" s="75">
        <v>1</v>
      </c>
      <c r="M107" s="76">
        <v>1</v>
      </c>
    </row>
    <row r="108" spans="1:13" ht="12.75" customHeight="1" x14ac:dyDescent="0.25">
      <c r="A108" s="1357" t="s">
        <v>2085</v>
      </c>
      <c r="B108" s="322"/>
      <c r="C108" s="130">
        <v>0.2</v>
      </c>
      <c r="D108" s="109"/>
      <c r="E108" s="109"/>
      <c r="F108" s="109"/>
      <c r="G108" s="109"/>
      <c r="H108" s="109"/>
      <c r="I108" s="109">
        <v>0</v>
      </c>
      <c r="J108" s="75">
        <f t="shared" si="2"/>
        <v>0</v>
      </c>
      <c r="K108" s="75">
        <f t="shared" si="3"/>
        <v>0.2</v>
      </c>
      <c r="L108" s="75">
        <v>0.2</v>
      </c>
      <c r="M108" s="76">
        <v>0.2</v>
      </c>
    </row>
    <row r="109" spans="1:13" ht="12.75" customHeight="1" x14ac:dyDescent="0.25">
      <c r="A109" s="1357" t="s">
        <v>2086</v>
      </c>
      <c r="B109" s="322"/>
      <c r="C109" s="130">
        <v>1</v>
      </c>
      <c r="D109" s="109"/>
      <c r="E109" s="109"/>
      <c r="F109" s="109"/>
      <c r="G109" s="109"/>
      <c r="H109" s="109"/>
      <c r="I109" s="109">
        <v>0</v>
      </c>
      <c r="J109" s="75">
        <f t="shared" si="2"/>
        <v>0</v>
      </c>
      <c r="K109" s="75">
        <f t="shared" si="3"/>
        <v>1</v>
      </c>
      <c r="L109" s="75">
        <v>1</v>
      </c>
      <c r="M109" s="76">
        <v>1</v>
      </c>
    </row>
    <row r="110" spans="1:13" ht="12.75" customHeight="1" x14ac:dyDescent="0.25">
      <c r="A110" s="1357" t="s">
        <v>2087</v>
      </c>
      <c r="B110" s="322"/>
      <c r="C110" s="130">
        <v>1</v>
      </c>
      <c r="D110" s="109"/>
      <c r="E110" s="109"/>
      <c r="F110" s="109"/>
      <c r="G110" s="109"/>
      <c r="H110" s="109"/>
      <c r="I110" s="109">
        <v>0</v>
      </c>
      <c r="J110" s="75">
        <f t="shared" si="2"/>
        <v>0</v>
      </c>
      <c r="K110" s="75">
        <f t="shared" si="3"/>
        <v>1</v>
      </c>
      <c r="L110" s="75">
        <v>1</v>
      </c>
      <c r="M110" s="76">
        <v>1</v>
      </c>
    </row>
    <row r="111" spans="1:13" ht="12.75" customHeight="1" x14ac:dyDescent="0.25">
      <c r="A111" s="1357" t="s">
        <v>2088</v>
      </c>
      <c r="B111" s="322"/>
      <c r="C111" s="130">
        <v>36732</v>
      </c>
      <c r="D111" s="109"/>
      <c r="E111" s="109"/>
      <c r="F111" s="109"/>
      <c r="G111" s="109"/>
      <c r="H111" s="109"/>
      <c r="I111" s="109">
        <v>0</v>
      </c>
      <c r="J111" s="75">
        <f t="shared" si="2"/>
        <v>0</v>
      </c>
      <c r="K111" s="75">
        <f t="shared" si="3"/>
        <v>36732</v>
      </c>
      <c r="L111" s="75">
        <v>36732</v>
      </c>
      <c r="M111" s="76">
        <v>36732</v>
      </c>
    </row>
    <row r="112" spans="1:13" ht="12.75" customHeight="1" x14ac:dyDescent="0.25">
      <c r="A112" s="1357" t="s">
        <v>2089</v>
      </c>
      <c r="B112" s="322"/>
      <c r="C112" s="130">
        <v>12</v>
      </c>
      <c r="D112" s="109"/>
      <c r="E112" s="109"/>
      <c r="F112" s="109"/>
      <c r="G112" s="109"/>
      <c r="H112" s="109"/>
      <c r="I112" s="109">
        <v>0</v>
      </c>
      <c r="J112" s="75">
        <f t="shared" si="2"/>
        <v>0</v>
      </c>
      <c r="K112" s="75">
        <f t="shared" si="3"/>
        <v>12</v>
      </c>
      <c r="L112" s="75">
        <v>12</v>
      </c>
      <c r="M112" s="76">
        <v>12</v>
      </c>
    </row>
    <row r="113" spans="1:13" ht="12.75" customHeight="1" x14ac:dyDescent="0.25">
      <c r="A113" s="1357" t="s">
        <v>2090</v>
      </c>
      <c r="B113" s="322"/>
      <c r="C113" s="130">
        <v>1</v>
      </c>
      <c r="D113" s="109"/>
      <c r="E113" s="109"/>
      <c r="F113" s="109"/>
      <c r="G113" s="109"/>
      <c r="H113" s="109"/>
      <c r="I113" s="109">
        <v>0</v>
      </c>
      <c r="J113" s="75">
        <f t="shared" si="2"/>
        <v>0</v>
      </c>
      <c r="K113" s="75">
        <f t="shared" si="3"/>
        <v>1</v>
      </c>
      <c r="L113" s="75">
        <v>1</v>
      </c>
      <c r="M113" s="76">
        <v>1</v>
      </c>
    </row>
    <row r="114" spans="1:13" ht="12.75" customHeight="1" x14ac:dyDescent="0.25">
      <c r="A114" s="1352" t="s">
        <v>2091</v>
      </c>
      <c r="B114" s="322"/>
      <c r="C114" s="130"/>
      <c r="D114" s="109"/>
      <c r="E114" s="109"/>
      <c r="F114" s="109"/>
      <c r="G114" s="109"/>
      <c r="H114" s="109"/>
      <c r="I114" s="109"/>
      <c r="J114" s="75"/>
      <c r="K114" s="75"/>
      <c r="L114" s="75"/>
      <c r="M114" s="76"/>
    </row>
    <row r="115" spans="1:13" ht="12.75" customHeight="1" x14ac:dyDescent="0.25">
      <c r="A115" s="1357" t="s">
        <v>2092</v>
      </c>
      <c r="B115" s="322"/>
      <c r="C115" s="130">
        <v>4</v>
      </c>
      <c r="D115" s="109"/>
      <c r="E115" s="109"/>
      <c r="F115" s="109"/>
      <c r="G115" s="109"/>
      <c r="H115" s="109"/>
      <c r="I115" s="109">
        <v>0</v>
      </c>
      <c r="J115" s="75">
        <f t="shared" si="2"/>
        <v>0</v>
      </c>
      <c r="K115" s="75">
        <f t="shared" si="3"/>
        <v>4</v>
      </c>
      <c r="L115" s="75">
        <v>4</v>
      </c>
      <c r="M115" s="76">
        <v>4</v>
      </c>
    </row>
    <row r="116" spans="1:13" ht="12.75" customHeight="1" x14ac:dyDescent="0.25">
      <c r="A116" s="1357" t="s">
        <v>2093</v>
      </c>
      <c r="B116" s="322"/>
      <c r="C116" s="130">
        <v>41305</v>
      </c>
      <c r="D116" s="109"/>
      <c r="E116" s="109"/>
      <c r="F116" s="109"/>
      <c r="G116" s="109"/>
      <c r="H116" s="109"/>
      <c r="I116" s="109">
        <v>0</v>
      </c>
      <c r="J116" s="75">
        <f t="shared" si="2"/>
        <v>0</v>
      </c>
      <c r="K116" s="75">
        <f t="shared" si="3"/>
        <v>41305</v>
      </c>
      <c r="L116" s="75">
        <v>41305</v>
      </c>
      <c r="M116" s="76">
        <v>41305</v>
      </c>
    </row>
    <row r="117" spans="1:13" ht="12.75" customHeight="1" x14ac:dyDescent="0.25">
      <c r="A117" s="1357" t="s">
        <v>2094</v>
      </c>
      <c r="B117" s="322"/>
      <c r="C117" s="130">
        <v>41364</v>
      </c>
      <c r="D117" s="109"/>
      <c r="E117" s="109"/>
      <c r="F117" s="109"/>
      <c r="G117" s="109"/>
      <c r="H117" s="109"/>
      <c r="I117" s="109">
        <v>0</v>
      </c>
      <c r="J117" s="75">
        <f t="shared" si="2"/>
        <v>0</v>
      </c>
      <c r="K117" s="75">
        <f t="shared" si="3"/>
        <v>41364</v>
      </c>
      <c r="L117" s="75">
        <v>41364</v>
      </c>
      <c r="M117" s="76">
        <v>41364</v>
      </c>
    </row>
    <row r="118" spans="1:13" ht="12.75" customHeight="1" x14ac:dyDescent="0.25">
      <c r="A118" s="1357" t="s">
        <v>2095</v>
      </c>
      <c r="B118" s="322"/>
      <c r="C118" s="130">
        <v>4</v>
      </c>
      <c r="D118" s="109"/>
      <c r="E118" s="109"/>
      <c r="F118" s="109"/>
      <c r="G118" s="109"/>
      <c r="H118" s="109"/>
      <c r="I118" s="109">
        <v>0</v>
      </c>
      <c r="J118" s="75">
        <f t="shared" si="2"/>
        <v>0</v>
      </c>
      <c r="K118" s="75">
        <f t="shared" si="3"/>
        <v>4</v>
      </c>
      <c r="L118" s="75">
        <v>4</v>
      </c>
      <c r="M118" s="76">
        <v>4</v>
      </c>
    </row>
    <row r="119" spans="1:13" ht="12.75" customHeight="1" x14ac:dyDescent="0.25">
      <c r="A119" s="1357" t="s">
        <v>2096</v>
      </c>
      <c r="B119" s="322"/>
      <c r="C119" s="130">
        <v>12</v>
      </c>
      <c r="D119" s="109"/>
      <c r="E119" s="109"/>
      <c r="F119" s="109"/>
      <c r="G119" s="109"/>
      <c r="H119" s="109"/>
      <c r="I119" s="109">
        <v>0</v>
      </c>
      <c r="J119" s="75">
        <f t="shared" si="2"/>
        <v>0</v>
      </c>
      <c r="K119" s="75">
        <f t="shared" si="3"/>
        <v>12</v>
      </c>
      <c r="L119" s="75">
        <v>12</v>
      </c>
      <c r="M119" s="76">
        <v>12</v>
      </c>
    </row>
    <row r="120" spans="1:13" ht="12.75" customHeight="1" x14ac:dyDescent="0.25">
      <c r="A120" s="1357" t="s">
        <v>2097</v>
      </c>
      <c r="B120" s="322"/>
      <c r="C120" s="130">
        <v>41882</v>
      </c>
      <c r="D120" s="109"/>
      <c r="E120" s="109"/>
      <c r="F120" s="109"/>
      <c r="G120" s="109"/>
      <c r="H120" s="109"/>
      <c r="I120" s="109">
        <v>0</v>
      </c>
      <c r="J120" s="75">
        <f t="shared" si="2"/>
        <v>0</v>
      </c>
      <c r="K120" s="75">
        <f t="shared" si="3"/>
        <v>41882</v>
      </c>
      <c r="L120" s="75">
        <v>41882</v>
      </c>
      <c r="M120" s="76">
        <v>41882</v>
      </c>
    </row>
    <row r="121" spans="1:13" ht="12.75" customHeight="1" x14ac:dyDescent="0.25">
      <c r="A121" s="1357" t="s">
        <v>2098</v>
      </c>
      <c r="B121" s="322"/>
      <c r="C121" s="130">
        <v>28</v>
      </c>
      <c r="D121" s="109"/>
      <c r="E121" s="109"/>
      <c r="F121" s="109"/>
      <c r="G121" s="109"/>
      <c r="H121" s="109"/>
      <c r="I121" s="109">
        <v>0</v>
      </c>
      <c r="J121" s="75">
        <f t="shared" si="2"/>
        <v>0</v>
      </c>
      <c r="K121" s="75">
        <f t="shared" si="3"/>
        <v>28</v>
      </c>
      <c r="L121" s="75">
        <v>28</v>
      </c>
      <c r="M121" s="76">
        <v>28</v>
      </c>
    </row>
    <row r="122" spans="1:13" ht="12.75" customHeight="1" x14ac:dyDescent="0.25">
      <c r="A122" s="1357" t="s">
        <v>2099</v>
      </c>
      <c r="B122" s="322"/>
      <c r="C122" s="130">
        <v>25</v>
      </c>
      <c r="D122" s="109"/>
      <c r="E122" s="109"/>
      <c r="F122" s="109"/>
      <c r="G122" s="109"/>
      <c r="H122" s="109"/>
      <c r="I122" s="109">
        <v>0</v>
      </c>
      <c r="J122" s="75">
        <f t="shared" si="2"/>
        <v>0</v>
      </c>
      <c r="K122" s="75">
        <f t="shared" si="3"/>
        <v>25</v>
      </c>
      <c r="L122" s="75">
        <v>25</v>
      </c>
      <c r="M122" s="76">
        <v>25</v>
      </c>
    </row>
    <row r="123" spans="1:13" ht="12.75" customHeight="1" x14ac:dyDescent="0.25">
      <c r="A123" s="1357" t="s">
        <v>2100</v>
      </c>
      <c r="B123" s="322"/>
      <c r="C123" s="130">
        <v>4</v>
      </c>
      <c r="D123" s="109"/>
      <c r="E123" s="109"/>
      <c r="F123" s="109"/>
      <c r="G123" s="109"/>
      <c r="H123" s="109"/>
      <c r="I123" s="109">
        <v>0</v>
      </c>
      <c r="J123" s="75">
        <f t="shared" si="2"/>
        <v>0</v>
      </c>
      <c r="K123" s="75">
        <f t="shared" si="3"/>
        <v>4</v>
      </c>
      <c r="L123" s="75">
        <v>4</v>
      </c>
      <c r="M123" s="76">
        <v>4</v>
      </c>
    </row>
    <row r="124" spans="1:13" ht="12.75" customHeight="1" x14ac:dyDescent="0.25">
      <c r="A124" s="1357" t="s">
        <v>2101</v>
      </c>
      <c r="B124" s="322"/>
      <c r="C124" s="130">
        <v>4</v>
      </c>
      <c r="D124" s="109"/>
      <c r="E124" s="109"/>
      <c r="F124" s="109"/>
      <c r="G124" s="109"/>
      <c r="H124" s="109"/>
      <c r="I124" s="109">
        <v>0</v>
      </c>
      <c r="J124" s="75">
        <f t="shared" si="2"/>
        <v>0</v>
      </c>
      <c r="K124" s="75">
        <f t="shared" si="3"/>
        <v>4</v>
      </c>
      <c r="L124" s="75">
        <v>4</v>
      </c>
      <c r="M124" s="76">
        <v>4</v>
      </c>
    </row>
    <row r="125" spans="1:13" ht="12.75" customHeight="1" x14ac:dyDescent="0.25">
      <c r="A125" s="1357" t="s">
        <v>2102</v>
      </c>
      <c r="B125" s="322"/>
      <c r="C125" s="130">
        <v>4</v>
      </c>
      <c r="D125" s="109"/>
      <c r="E125" s="109"/>
      <c r="F125" s="109"/>
      <c r="G125" s="109"/>
      <c r="H125" s="109"/>
      <c r="I125" s="109">
        <v>0</v>
      </c>
      <c r="J125" s="75">
        <f t="shared" si="2"/>
        <v>0</v>
      </c>
      <c r="K125" s="75">
        <f t="shared" si="3"/>
        <v>4</v>
      </c>
      <c r="L125" s="75">
        <v>4</v>
      </c>
      <c r="M125" s="76">
        <v>4</v>
      </c>
    </row>
    <row r="126" spans="1:13" ht="12.75" customHeight="1" x14ac:dyDescent="0.25">
      <c r="A126" s="1357" t="s">
        <v>2103</v>
      </c>
      <c r="B126" s="322"/>
      <c r="C126" s="130">
        <v>1</v>
      </c>
      <c r="D126" s="109"/>
      <c r="E126" s="109"/>
      <c r="F126" s="109"/>
      <c r="G126" s="109"/>
      <c r="H126" s="109"/>
      <c r="I126" s="109">
        <v>0</v>
      </c>
      <c r="J126" s="75">
        <f t="shared" si="2"/>
        <v>0</v>
      </c>
      <c r="K126" s="75">
        <f t="shared" si="3"/>
        <v>1</v>
      </c>
      <c r="L126" s="75">
        <v>1</v>
      </c>
      <c r="M126" s="76">
        <v>1</v>
      </c>
    </row>
    <row r="127" spans="1:13" ht="12.75" customHeight="1" x14ac:dyDescent="0.25">
      <c r="A127" s="1357" t="s">
        <v>2104</v>
      </c>
      <c r="B127" s="322"/>
      <c r="C127" s="130">
        <v>1</v>
      </c>
      <c r="D127" s="109"/>
      <c r="E127" s="109"/>
      <c r="F127" s="109"/>
      <c r="G127" s="109"/>
      <c r="H127" s="109"/>
      <c r="I127" s="109">
        <v>0</v>
      </c>
      <c r="J127" s="75">
        <f t="shared" si="2"/>
        <v>0</v>
      </c>
      <c r="K127" s="75">
        <f t="shared" si="3"/>
        <v>1</v>
      </c>
      <c r="L127" s="75">
        <v>1</v>
      </c>
      <c r="M127" s="76">
        <v>1</v>
      </c>
    </row>
    <row r="128" spans="1:13" ht="12.75" customHeight="1" x14ac:dyDescent="0.25">
      <c r="A128" s="1357" t="s">
        <v>2105</v>
      </c>
      <c r="B128" s="322"/>
      <c r="C128" s="130">
        <v>1</v>
      </c>
      <c r="D128" s="109"/>
      <c r="E128" s="109"/>
      <c r="F128" s="109"/>
      <c r="G128" s="109"/>
      <c r="H128" s="109"/>
      <c r="I128" s="109">
        <v>0</v>
      </c>
      <c r="J128" s="75">
        <f t="shared" si="2"/>
        <v>0</v>
      </c>
      <c r="K128" s="75">
        <f t="shared" si="3"/>
        <v>1</v>
      </c>
      <c r="L128" s="75">
        <v>1</v>
      </c>
      <c r="M128" s="76">
        <v>1</v>
      </c>
    </row>
    <row r="129" spans="1:13" ht="12.75" customHeight="1" x14ac:dyDescent="0.25">
      <c r="A129" s="1357" t="s">
        <v>2106</v>
      </c>
      <c r="B129" s="322"/>
      <c r="C129" s="130">
        <v>4</v>
      </c>
      <c r="D129" s="109"/>
      <c r="E129" s="109"/>
      <c r="F129" s="109"/>
      <c r="G129" s="109"/>
      <c r="H129" s="109"/>
      <c r="I129" s="109">
        <v>0</v>
      </c>
      <c r="J129" s="75">
        <f t="shared" si="2"/>
        <v>0</v>
      </c>
      <c r="K129" s="75">
        <f t="shared" si="3"/>
        <v>4</v>
      </c>
      <c r="L129" s="75">
        <v>4</v>
      </c>
      <c r="M129" s="76">
        <v>4</v>
      </c>
    </row>
    <row r="130" spans="1:13" ht="12.75" customHeight="1" x14ac:dyDescent="0.25">
      <c r="A130" s="1357" t="s">
        <v>2107</v>
      </c>
      <c r="B130" s="322"/>
      <c r="C130" s="130">
        <v>26</v>
      </c>
      <c r="D130" s="109"/>
      <c r="E130" s="109"/>
      <c r="F130" s="109"/>
      <c r="G130" s="109"/>
      <c r="H130" s="109"/>
      <c r="I130" s="109">
        <v>0</v>
      </c>
      <c r="J130" s="75">
        <f t="shared" si="2"/>
        <v>0</v>
      </c>
      <c r="K130" s="75">
        <f t="shared" si="3"/>
        <v>26</v>
      </c>
      <c r="L130" s="75">
        <v>26</v>
      </c>
      <c r="M130" s="76">
        <v>26</v>
      </c>
    </row>
    <row r="131" spans="1:13" ht="12.75" customHeight="1" x14ac:dyDescent="0.25">
      <c r="A131" s="1357" t="s">
        <v>2108</v>
      </c>
      <c r="B131" s="322"/>
      <c r="C131" s="130">
        <v>99</v>
      </c>
      <c r="D131" s="109"/>
      <c r="E131" s="109"/>
      <c r="F131" s="109"/>
      <c r="G131" s="109"/>
      <c r="H131" s="109"/>
      <c r="I131" s="109">
        <v>0</v>
      </c>
      <c r="J131" s="75">
        <f t="shared" si="2"/>
        <v>0</v>
      </c>
      <c r="K131" s="75">
        <f t="shared" si="3"/>
        <v>99</v>
      </c>
      <c r="L131" s="75">
        <v>99</v>
      </c>
      <c r="M131" s="76">
        <v>99</v>
      </c>
    </row>
    <row r="132" spans="1:13" ht="12.75" customHeight="1" x14ac:dyDescent="0.25">
      <c r="A132" s="1357" t="s">
        <v>2109</v>
      </c>
      <c r="B132" s="322"/>
      <c r="C132" s="130">
        <v>12</v>
      </c>
      <c r="D132" s="109"/>
      <c r="E132" s="109"/>
      <c r="F132" s="109"/>
      <c r="G132" s="109"/>
      <c r="H132" s="109"/>
      <c r="I132" s="109">
        <v>0</v>
      </c>
      <c r="J132" s="75">
        <f t="shared" si="2"/>
        <v>0</v>
      </c>
      <c r="K132" s="75">
        <f t="shared" si="3"/>
        <v>12</v>
      </c>
      <c r="L132" s="75">
        <v>12</v>
      </c>
      <c r="M132" s="76">
        <v>12</v>
      </c>
    </row>
    <row r="133" spans="1:13" ht="12.75" customHeight="1" x14ac:dyDescent="0.25">
      <c r="A133" s="1357" t="s">
        <v>2110</v>
      </c>
      <c r="B133" s="322"/>
      <c r="C133" s="130">
        <v>12</v>
      </c>
      <c r="D133" s="109"/>
      <c r="E133" s="109"/>
      <c r="F133" s="109"/>
      <c r="G133" s="109"/>
      <c r="H133" s="109"/>
      <c r="I133" s="109">
        <v>0</v>
      </c>
      <c r="J133" s="75">
        <f t="shared" si="2"/>
        <v>0</v>
      </c>
      <c r="K133" s="75">
        <f t="shared" si="3"/>
        <v>12</v>
      </c>
      <c r="L133" s="75">
        <v>12</v>
      </c>
      <c r="M133" s="76">
        <v>12</v>
      </c>
    </row>
    <row r="134" spans="1:13" ht="12.75" customHeight="1" x14ac:dyDescent="0.25">
      <c r="A134" s="1357" t="s">
        <v>2111</v>
      </c>
      <c r="B134" s="322"/>
      <c r="C134" s="130">
        <v>4</v>
      </c>
      <c r="D134" s="109"/>
      <c r="E134" s="109"/>
      <c r="F134" s="109"/>
      <c r="G134" s="109"/>
      <c r="H134" s="109"/>
      <c r="I134" s="109">
        <v>0</v>
      </c>
      <c r="J134" s="75">
        <f t="shared" si="2"/>
        <v>0</v>
      </c>
      <c r="K134" s="75">
        <f t="shared" si="3"/>
        <v>4</v>
      </c>
      <c r="L134" s="75">
        <v>4</v>
      </c>
      <c r="M134" s="76">
        <v>4</v>
      </c>
    </row>
    <row r="135" spans="1:13" ht="12.75" customHeight="1" x14ac:dyDescent="0.25">
      <c r="A135" s="1357" t="s">
        <v>2112</v>
      </c>
      <c r="B135" s="322"/>
      <c r="C135" s="130">
        <v>1</v>
      </c>
      <c r="D135" s="109"/>
      <c r="E135" s="109"/>
      <c r="F135" s="109"/>
      <c r="G135" s="109"/>
      <c r="H135" s="109"/>
      <c r="I135" s="109">
        <v>0</v>
      </c>
      <c r="J135" s="75">
        <f t="shared" si="2"/>
        <v>0</v>
      </c>
      <c r="K135" s="75">
        <f t="shared" si="3"/>
        <v>1</v>
      </c>
      <c r="L135" s="75">
        <v>1</v>
      </c>
      <c r="M135" s="76">
        <v>1</v>
      </c>
    </row>
    <row r="136" spans="1:13" ht="12.75" customHeight="1" x14ac:dyDescent="0.25">
      <c r="A136" s="1357" t="s">
        <v>2113</v>
      </c>
      <c r="B136" s="322"/>
      <c r="C136" s="130">
        <v>26</v>
      </c>
      <c r="D136" s="109"/>
      <c r="E136" s="109"/>
      <c r="F136" s="109"/>
      <c r="G136" s="109"/>
      <c r="H136" s="109"/>
      <c r="I136" s="109">
        <v>0</v>
      </c>
      <c r="J136" s="75">
        <f t="shared" si="2"/>
        <v>0</v>
      </c>
      <c r="K136" s="75">
        <f t="shared" si="3"/>
        <v>26</v>
      </c>
      <c r="L136" s="75">
        <v>26</v>
      </c>
      <c r="M136" s="76">
        <v>26</v>
      </c>
    </row>
    <row r="137" spans="1:13" ht="12.75" customHeight="1" x14ac:dyDescent="0.25">
      <c r="A137" s="1357" t="s">
        <v>2114</v>
      </c>
      <c r="B137" s="322"/>
      <c r="C137" s="130">
        <v>7</v>
      </c>
      <c r="D137" s="109"/>
      <c r="E137" s="109"/>
      <c r="F137" s="109"/>
      <c r="G137" s="109"/>
      <c r="H137" s="109"/>
      <c r="I137" s="109">
        <v>0</v>
      </c>
      <c r="J137" s="75">
        <f t="shared" ref="J137:J161" si="4">SUM(E137:I137)</f>
        <v>0</v>
      </c>
      <c r="K137" s="75">
        <f t="shared" ref="K137:K161" si="5">IF(D137=0,C137+J137,D137+J137)</f>
        <v>7</v>
      </c>
      <c r="L137" s="75">
        <v>7</v>
      </c>
      <c r="M137" s="76">
        <v>7</v>
      </c>
    </row>
    <row r="138" spans="1:13" ht="12.75" customHeight="1" x14ac:dyDescent="0.25">
      <c r="A138" s="1357" t="s">
        <v>2046</v>
      </c>
      <c r="B138" s="322"/>
      <c r="C138" s="130">
        <v>4</v>
      </c>
      <c r="D138" s="109"/>
      <c r="E138" s="109"/>
      <c r="F138" s="109"/>
      <c r="G138" s="109"/>
      <c r="H138" s="109"/>
      <c r="I138" s="109">
        <v>0</v>
      </c>
      <c r="J138" s="75">
        <f t="shared" si="4"/>
        <v>0</v>
      </c>
      <c r="K138" s="75">
        <f t="shared" si="5"/>
        <v>4</v>
      </c>
      <c r="L138" s="75">
        <v>4</v>
      </c>
      <c r="M138" s="76">
        <v>4</v>
      </c>
    </row>
    <row r="139" spans="1:13" ht="12.75" customHeight="1" x14ac:dyDescent="0.25">
      <c r="A139" s="1357" t="s">
        <v>2115</v>
      </c>
      <c r="B139" s="322"/>
      <c r="C139" s="130">
        <v>4</v>
      </c>
      <c r="D139" s="109"/>
      <c r="E139" s="109"/>
      <c r="F139" s="109"/>
      <c r="G139" s="109"/>
      <c r="H139" s="109"/>
      <c r="I139" s="109">
        <v>0</v>
      </c>
      <c r="J139" s="75">
        <f t="shared" si="4"/>
        <v>0</v>
      </c>
      <c r="K139" s="75">
        <f t="shared" si="5"/>
        <v>4</v>
      </c>
      <c r="L139" s="75">
        <v>4</v>
      </c>
      <c r="M139" s="76">
        <v>4</v>
      </c>
    </row>
    <row r="140" spans="1:13" ht="12.75" customHeight="1" x14ac:dyDescent="0.25">
      <c r="A140" s="1357" t="s">
        <v>2116</v>
      </c>
      <c r="B140" s="322"/>
      <c r="C140" s="130">
        <v>1</v>
      </c>
      <c r="D140" s="109"/>
      <c r="E140" s="109"/>
      <c r="F140" s="109"/>
      <c r="G140" s="109"/>
      <c r="H140" s="109"/>
      <c r="I140" s="109">
        <v>0</v>
      </c>
      <c r="J140" s="75">
        <f t="shared" si="4"/>
        <v>0</v>
      </c>
      <c r="K140" s="75">
        <f t="shared" si="5"/>
        <v>1</v>
      </c>
      <c r="L140" s="75">
        <v>1</v>
      </c>
      <c r="M140" s="76">
        <v>1</v>
      </c>
    </row>
    <row r="141" spans="1:13" ht="12.75" customHeight="1" x14ac:dyDescent="0.25">
      <c r="A141" s="1357" t="s">
        <v>2117</v>
      </c>
      <c r="B141" s="322"/>
      <c r="C141" s="130">
        <v>1</v>
      </c>
      <c r="D141" s="109"/>
      <c r="E141" s="109"/>
      <c r="F141" s="109"/>
      <c r="G141" s="109"/>
      <c r="H141" s="109"/>
      <c r="I141" s="109">
        <v>0</v>
      </c>
      <c r="J141" s="75">
        <f t="shared" si="4"/>
        <v>0</v>
      </c>
      <c r="K141" s="75">
        <f t="shared" si="5"/>
        <v>1</v>
      </c>
      <c r="L141" s="75">
        <v>1</v>
      </c>
      <c r="M141" s="76">
        <v>1</v>
      </c>
    </row>
    <row r="142" spans="1:13" ht="12.75" customHeight="1" x14ac:dyDescent="0.25">
      <c r="A142" s="1357" t="s">
        <v>2046</v>
      </c>
      <c r="B142" s="322"/>
      <c r="C142" s="130">
        <v>41455</v>
      </c>
      <c r="D142" s="109"/>
      <c r="E142" s="109"/>
      <c r="F142" s="109"/>
      <c r="G142" s="109"/>
      <c r="H142" s="109"/>
      <c r="I142" s="109">
        <v>0</v>
      </c>
      <c r="J142" s="75">
        <f t="shared" si="4"/>
        <v>0</v>
      </c>
      <c r="K142" s="75">
        <f t="shared" si="5"/>
        <v>41455</v>
      </c>
      <c r="L142" s="75">
        <v>41455</v>
      </c>
      <c r="M142" s="76">
        <v>41455</v>
      </c>
    </row>
    <row r="143" spans="1:13" ht="12.75" customHeight="1" x14ac:dyDescent="0.25">
      <c r="A143" s="1357" t="s">
        <v>2118</v>
      </c>
      <c r="B143" s="322"/>
      <c r="C143" s="130">
        <v>41455</v>
      </c>
      <c r="D143" s="109"/>
      <c r="E143" s="109"/>
      <c r="F143" s="109"/>
      <c r="G143" s="109"/>
      <c r="H143" s="109"/>
      <c r="I143" s="109">
        <v>0</v>
      </c>
      <c r="J143" s="75">
        <f t="shared" si="4"/>
        <v>0</v>
      </c>
      <c r="K143" s="75">
        <f t="shared" si="5"/>
        <v>41455</v>
      </c>
      <c r="L143" s="75">
        <v>41455</v>
      </c>
      <c r="M143" s="76">
        <v>41455</v>
      </c>
    </row>
    <row r="144" spans="1:13" ht="12.75" customHeight="1" x14ac:dyDescent="0.25">
      <c r="A144" s="1357" t="s">
        <v>2119</v>
      </c>
      <c r="B144" s="322"/>
      <c r="C144" s="130">
        <v>0</v>
      </c>
      <c r="D144" s="109"/>
      <c r="E144" s="109"/>
      <c r="F144" s="109"/>
      <c r="G144" s="109"/>
      <c r="H144" s="109"/>
      <c r="I144" s="109">
        <v>0</v>
      </c>
      <c r="J144" s="75">
        <f t="shared" si="4"/>
        <v>0</v>
      </c>
      <c r="K144" s="75">
        <f t="shared" si="5"/>
        <v>0</v>
      </c>
      <c r="L144" s="75">
        <v>0</v>
      </c>
      <c r="M144" s="76">
        <v>0</v>
      </c>
    </row>
    <row r="145" spans="1:13" ht="12.75" customHeight="1" x14ac:dyDescent="0.25">
      <c r="A145" s="1357" t="s">
        <v>2120</v>
      </c>
      <c r="B145" s="322"/>
      <c r="C145" s="130" t="s">
        <v>2140</v>
      </c>
      <c r="D145" s="109"/>
      <c r="E145" s="109"/>
      <c r="F145" s="109"/>
      <c r="G145" s="109"/>
      <c r="H145" s="109"/>
      <c r="I145" s="109"/>
      <c r="J145" s="75">
        <f t="shared" si="4"/>
        <v>0</v>
      </c>
      <c r="K145" s="75" t="s">
        <v>2140</v>
      </c>
      <c r="L145" s="75" t="s">
        <v>2140</v>
      </c>
      <c r="M145" s="76" t="s">
        <v>2140</v>
      </c>
    </row>
    <row r="146" spans="1:13" ht="12.75" customHeight="1" x14ac:dyDescent="0.25">
      <c r="A146" s="1357" t="s">
        <v>2121</v>
      </c>
      <c r="B146" s="322"/>
      <c r="C146" s="130">
        <v>4</v>
      </c>
      <c r="D146" s="109"/>
      <c r="E146" s="109"/>
      <c r="F146" s="109"/>
      <c r="G146" s="109"/>
      <c r="H146" s="109"/>
      <c r="I146" s="109">
        <v>0</v>
      </c>
      <c r="J146" s="75">
        <f t="shared" si="4"/>
        <v>0</v>
      </c>
      <c r="K146" s="75">
        <f t="shared" si="5"/>
        <v>4</v>
      </c>
      <c r="L146" s="75">
        <v>4</v>
      </c>
      <c r="M146" s="76">
        <v>4</v>
      </c>
    </row>
    <row r="147" spans="1:13" ht="12.75" customHeight="1" x14ac:dyDescent="0.25">
      <c r="A147" s="1352" t="s">
        <v>2122</v>
      </c>
      <c r="B147" s="322"/>
      <c r="C147" s="130"/>
      <c r="D147" s="109"/>
      <c r="E147" s="109"/>
      <c r="F147" s="109"/>
      <c r="G147" s="109"/>
      <c r="H147" s="109"/>
      <c r="I147" s="109">
        <v>0</v>
      </c>
      <c r="J147" s="75">
        <f t="shared" si="4"/>
        <v>0</v>
      </c>
      <c r="K147" s="75">
        <f t="shared" si="5"/>
        <v>0</v>
      </c>
      <c r="L147" s="75"/>
      <c r="M147" s="76"/>
    </row>
    <row r="148" spans="1:13" ht="12.75" customHeight="1" x14ac:dyDescent="0.25">
      <c r="A148" s="1358" t="s">
        <v>2123</v>
      </c>
      <c r="B148" s="322"/>
      <c r="C148" s="130">
        <v>154</v>
      </c>
      <c r="D148" s="109"/>
      <c r="E148" s="109"/>
      <c r="F148" s="109"/>
      <c r="G148" s="109"/>
      <c r="H148" s="109"/>
      <c r="I148" s="109">
        <v>-154</v>
      </c>
      <c r="J148" s="75">
        <f t="shared" si="4"/>
        <v>-154</v>
      </c>
      <c r="K148" s="75">
        <f t="shared" si="5"/>
        <v>0</v>
      </c>
      <c r="L148" s="75">
        <v>0</v>
      </c>
      <c r="M148" s="76">
        <v>0</v>
      </c>
    </row>
    <row r="149" spans="1:13" ht="12.75" customHeight="1" x14ac:dyDescent="0.25">
      <c r="A149" s="1359" t="s">
        <v>2124</v>
      </c>
      <c r="B149" s="322"/>
      <c r="C149" s="130">
        <v>1.4999999999999999E-2</v>
      </c>
      <c r="D149" s="109"/>
      <c r="E149" s="109"/>
      <c r="F149" s="109"/>
      <c r="G149" s="109"/>
      <c r="H149" s="109"/>
      <c r="I149" s="109">
        <v>0</v>
      </c>
      <c r="J149" s="75">
        <f t="shared" si="4"/>
        <v>0</v>
      </c>
      <c r="K149" s="75">
        <f t="shared" si="5"/>
        <v>1.4999999999999999E-2</v>
      </c>
      <c r="L149" s="75">
        <v>1.2E-2</v>
      </c>
      <c r="M149" s="76">
        <v>0.01</v>
      </c>
    </row>
    <row r="150" spans="1:13" ht="12.75" customHeight="1" x14ac:dyDescent="0.25">
      <c r="A150" s="1359" t="s">
        <v>2125</v>
      </c>
      <c r="B150" s="322"/>
      <c r="C150" s="130">
        <v>0</v>
      </c>
      <c r="D150" s="109"/>
      <c r="E150" s="109"/>
      <c r="F150" s="109"/>
      <c r="G150" s="109"/>
      <c r="H150" s="109"/>
      <c r="I150" s="109">
        <v>0</v>
      </c>
      <c r="J150" s="75">
        <f t="shared" si="4"/>
        <v>0</v>
      </c>
      <c r="K150" s="75">
        <f t="shared" si="5"/>
        <v>0</v>
      </c>
      <c r="L150" s="75">
        <v>0</v>
      </c>
      <c r="M150" s="76">
        <v>0</v>
      </c>
    </row>
    <row r="151" spans="1:13" ht="12.75" customHeight="1" x14ac:dyDescent="0.25">
      <c r="A151" s="1359" t="s">
        <v>2126</v>
      </c>
      <c r="B151" s="322"/>
      <c r="C151" s="130">
        <v>0</v>
      </c>
      <c r="D151" s="109"/>
      <c r="E151" s="109"/>
      <c r="F151" s="109"/>
      <c r="G151" s="109"/>
      <c r="H151" s="109"/>
      <c r="I151" s="109">
        <v>0</v>
      </c>
      <c r="J151" s="75">
        <f t="shared" si="4"/>
        <v>0</v>
      </c>
      <c r="K151" s="75">
        <f t="shared" si="5"/>
        <v>0</v>
      </c>
      <c r="L151" s="75">
        <v>0</v>
      </c>
      <c r="M151" s="76">
        <v>0</v>
      </c>
    </row>
    <row r="152" spans="1:13" ht="12.75" customHeight="1" x14ac:dyDescent="0.25">
      <c r="A152" s="1359" t="s">
        <v>2127</v>
      </c>
      <c r="B152" s="322"/>
      <c r="C152" s="130">
        <v>5</v>
      </c>
      <c r="D152" s="109"/>
      <c r="E152" s="109"/>
      <c r="F152" s="109"/>
      <c r="G152" s="109"/>
      <c r="H152" s="109"/>
      <c r="I152" s="109">
        <v>0</v>
      </c>
      <c r="J152" s="75">
        <f t="shared" si="4"/>
        <v>0</v>
      </c>
      <c r="K152" s="75">
        <f t="shared" si="5"/>
        <v>5</v>
      </c>
      <c r="L152" s="75">
        <v>5</v>
      </c>
      <c r="M152" s="76">
        <v>5</v>
      </c>
    </row>
    <row r="153" spans="1:13" ht="12.75" customHeight="1" x14ac:dyDescent="0.25">
      <c r="A153" s="1359" t="s">
        <v>2128</v>
      </c>
      <c r="B153" s="322"/>
      <c r="C153" s="130">
        <v>0</v>
      </c>
      <c r="D153" s="109"/>
      <c r="E153" s="109"/>
      <c r="F153" s="109"/>
      <c r="G153" s="109"/>
      <c r="H153" s="109"/>
      <c r="I153" s="109">
        <v>0</v>
      </c>
      <c r="J153" s="75">
        <f t="shared" si="4"/>
        <v>0</v>
      </c>
      <c r="K153" s="75">
        <f t="shared" si="5"/>
        <v>0</v>
      </c>
      <c r="L153" s="75">
        <v>0</v>
      </c>
      <c r="M153" s="76">
        <v>0</v>
      </c>
    </row>
    <row r="154" spans="1:13" ht="12.75" customHeight="1" x14ac:dyDescent="0.25">
      <c r="A154" s="1359" t="s">
        <v>2129</v>
      </c>
      <c r="B154" s="322"/>
      <c r="C154" s="130">
        <v>5</v>
      </c>
      <c r="D154" s="109"/>
      <c r="E154" s="109"/>
      <c r="F154" s="109"/>
      <c r="G154" s="109"/>
      <c r="H154" s="109"/>
      <c r="I154" s="109">
        <v>0</v>
      </c>
      <c r="J154" s="75">
        <f t="shared" si="4"/>
        <v>0</v>
      </c>
      <c r="K154" s="75">
        <f t="shared" si="5"/>
        <v>5</v>
      </c>
      <c r="L154" s="75">
        <v>5</v>
      </c>
      <c r="M154" s="76">
        <v>5</v>
      </c>
    </row>
    <row r="155" spans="1:13" ht="12.75" customHeight="1" x14ac:dyDescent="0.25">
      <c r="A155" s="1359" t="s">
        <v>2130</v>
      </c>
      <c r="B155" s="322"/>
      <c r="C155" s="130">
        <v>1</v>
      </c>
      <c r="D155" s="109"/>
      <c r="E155" s="109"/>
      <c r="F155" s="109"/>
      <c r="G155" s="109"/>
      <c r="H155" s="109"/>
      <c r="I155" s="109">
        <v>0</v>
      </c>
      <c r="J155" s="75">
        <f t="shared" si="4"/>
        <v>0</v>
      </c>
      <c r="K155" s="75">
        <f t="shared" si="5"/>
        <v>1</v>
      </c>
      <c r="L155" s="75">
        <v>1</v>
      </c>
      <c r="M155" s="76">
        <v>1</v>
      </c>
    </row>
    <row r="156" spans="1:13" ht="12.75" customHeight="1" x14ac:dyDescent="0.25">
      <c r="A156" s="1359" t="s">
        <v>2131</v>
      </c>
      <c r="B156" s="322"/>
      <c r="C156" s="130">
        <v>140</v>
      </c>
      <c r="D156" s="109"/>
      <c r="E156" s="109"/>
      <c r="F156" s="109"/>
      <c r="G156" s="109"/>
      <c r="H156" s="109"/>
      <c r="I156" s="109">
        <v>0</v>
      </c>
      <c r="J156" s="75">
        <f t="shared" si="4"/>
        <v>0</v>
      </c>
      <c r="K156" s="75">
        <f t="shared" si="5"/>
        <v>140</v>
      </c>
      <c r="L156" s="75">
        <v>140</v>
      </c>
      <c r="M156" s="76">
        <v>140</v>
      </c>
    </row>
    <row r="157" spans="1:13" ht="12.75" customHeight="1" x14ac:dyDescent="0.25">
      <c r="A157" s="1359" t="s">
        <v>2046</v>
      </c>
      <c r="B157" s="322"/>
      <c r="C157" s="130">
        <v>27</v>
      </c>
      <c r="D157" s="109"/>
      <c r="E157" s="109"/>
      <c r="F157" s="109"/>
      <c r="G157" s="109"/>
      <c r="H157" s="109"/>
      <c r="I157" s="109">
        <v>0</v>
      </c>
      <c r="J157" s="75">
        <f t="shared" si="4"/>
        <v>0</v>
      </c>
      <c r="K157" s="75">
        <f t="shared" si="5"/>
        <v>27</v>
      </c>
      <c r="L157" s="75">
        <v>27</v>
      </c>
      <c r="M157" s="76">
        <v>27</v>
      </c>
    </row>
    <row r="158" spans="1:13" ht="12.75" customHeight="1" x14ac:dyDescent="0.25">
      <c r="A158" s="1359" t="s">
        <v>2132</v>
      </c>
      <c r="B158" s="322"/>
      <c r="C158" s="130">
        <v>0.38</v>
      </c>
      <c r="D158" s="109"/>
      <c r="E158" s="109"/>
      <c r="F158" s="109"/>
      <c r="G158" s="109"/>
      <c r="H158" s="109"/>
      <c r="I158" s="109">
        <v>-3.0000000000000027E-2</v>
      </c>
      <c r="J158" s="75">
        <f t="shared" si="4"/>
        <v>-3.0000000000000027E-2</v>
      </c>
      <c r="K158" s="75">
        <f t="shared" si="5"/>
        <v>0.35</v>
      </c>
      <c r="L158" s="75">
        <v>0.38</v>
      </c>
      <c r="M158" s="76">
        <v>0.38</v>
      </c>
    </row>
    <row r="159" spans="1:13" ht="12.75" customHeight="1" x14ac:dyDescent="0.25">
      <c r="A159" s="1359" t="s">
        <v>2133</v>
      </c>
      <c r="B159" s="322"/>
      <c r="C159" s="130">
        <v>0.3</v>
      </c>
      <c r="D159" s="109"/>
      <c r="E159" s="109"/>
      <c r="F159" s="109"/>
      <c r="G159" s="109"/>
      <c r="H159" s="109"/>
      <c r="I159" s="109">
        <v>4.9999999999999989E-2</v>
      </c>
      <c r="J159" s="75">
        <f t="shared" si="4"/>
        <v>4.9999999999999989E-2</v>
      </c>
      <c r="K159" s="75">
        <f t="shared" si="5"/>
        <v>0.35</v>
      </c>
      <c r="L159" s="75">
        <v>0.3</v>
      </c>
      <c r="M159" s="76">
        <v>0.3</v>
      </c>
    </row>
    <row r="160" spans="1:13" ht="12.75" customHeight="1" x14ac:dyDescent="0.25">
      <c r="A160" s="1359" t="s">
        <v>2134</v>
      </c>
      <c r="B160" s="322"/>
      <c r="C160" s="130">
        <v>0.02</v>
      </c>
      <c r="D160" s="109"/>
      <c r="E160" s="109"/>
      <c r="F160" s="109"/>
      <c r="G160" s="109"/>
      <c r="H160" s="109"/>
      <c r="I160" s="109">
        <v>1.9999999999999983E-3</v>
      </c>
      <c r="J160" s="75">
        <f t="shared" si="4"/>
        <v>1.9999999999999983E-3</v>
      </c>
      <c r="K160" s="75">
        <f t="shared" si="5"/>
        <v>2.1999999999999999E-2</v>
      </c>
      <c r="L160" s="75">
        <v>0.02</v>
      </c>
      <c r="M160" s="76">
        <v>0.02</v>
      </c>
    </row>
    <row r="161" spans="1:13" ht="12.75" customHeight="1" x14ac:dyDescent="0.25">
      <c r="A161" s="1359" t="s">
        <v>2135</v>
      </c>
      <c r="B161" s="322"/>
      <c r="C161" s="130">
        <v>6</v>
      </c>
      <c r="D161" s="109"/>
      <c r="E161" s="109"/>
      <c r="F161" s="109"/>
      <c r="G161" s="109"/>
      <c r="H161" s="109"/>
      <c r="I161" s="109">
        <v>-6</v>
      </c>
      <c r="J161" s="75">
        <f t="shared" si="4"/>
        <v>-6</v>
      </c>
      <c r="K161" s="75">
        <f t="shared" si="5"/>
        <v>0</v>
      </c>
      <c r="L161" s="75">
        <v>0</v>
      </c>
      <c r="M161" s="76">
        <v>0</v>
      </c>
    </row>
    <row r="162" spans="1:13" ht="12.75" customHeight="1" x14ac:dyDescent="0.25">
      <c r="A162" s="829"/>
      <c r="B162" s="322"/>
      <c r="C162" s="130"/>
      <c r="D162" s="109"/>
      <c r="E162" s="109"/>
      <c r="F162" s="109"/>
      <c r="G162" s="109"/>
      <c r="H162" s="109"/>
      <c r="I162" s="109"/>
      <c r="J162" s="75"/>
      <c r="K162" s="75"/>
      <c r="L162" s="75"/>
      <c r="M162" s="76"/>
    </row>
    <row r="163" spans="1:13" ht="12.75" customHeight="1" x14ac:dyDescent="0.25">
      <c r="A163" s="830" t="s">
        <v>455</v>
      </c>
      <c r="B163" s="831"/>
      <c r="C163" s="323"/>
      <c r="D163" s="316"/>
      <c r="E163" s="316"/>
      <c r="F163" s="316"/>
      <c r="G163" s="316"/>
      <c r="H163" s="316"/>
      <c r="I163" s="316"/>
      <c r="J163" s="177">
        <f>SUM(E163:I163)</f>
        <v>0</v>
      </c>
      <c r="K163" s="177">
        <f>IF(D163=0,C163+J163,D163+J163)</f>
        <v>0</v>
      </c>
      <c r="L163" s="177">
        <f>IF(E163=0,D163+K163,E163+K163)</f>
        <v>0</v>
      </c>
      <c r="M163" s="178">
        <f>IF(F163=0,E163+L163,F163+L163)</f>
        <v>0</v>
      </c>
    </row>
    <row r="164" spans="1:13" ht="12.75" customHeight="1" x14ac:dyDescent="0.25">
      <c r="A164" s="158" t="str">
        <f>head27a</f>
        <v>References</v>
      </c>
      <c r="B164" s="98"/>
      <c r="C164" s="179"/>
      <c r="D164" s="179"/>
      <c r="E164" s="179"/>
      <c r="F164" s="179"/>
      <c r="G164" s="179"/>
      <c r="H164" s="179"/>
      <c r="I164" s="179"/>
      <c r="J164" s="179"/>
      <c r="K164" s="179"/>
      <c r="L164" s="179"/>
      <c r="M164" s="179"/>
    </row>
    <row r="165" spans="1:13" ht="12.75" customHeight="1" x14ac:dyDescent="0.25">
      <c r="A165" s="1389" t="s">
        <v>14</v>
      </c>
      <c r="B165" s="1389"/>
      <c r="C165" s="1389"/>
      <c r="D165" s="1389"/>
      <c r="E165" s="1389"/>
      <c r="F165" s="1389"/>
      <c r="G165" s="1389"/>
      <c r="H165" s="1389"/>
      <c r="I165" s="1389"/>
      <c r="J165" s="1389"/>
      <c r="K165" s="1389"/>
      <c r="L165" s="1389"/>
      <c r="M165" s="1389"/>
    </row>
    <row r="166" spans="1:13" ht="12.75" customHeight="1" x14ac:dyDescent="0.25">
      <c r="A166" s="99" t="s">
        <v>15</v>
      </c>
      <c r="B166" s="98"/>
      <c r="C166" s="324"/>
      <c r="D166" s="324"/>
      <c r="E166" s="324"/>
      <c r="F166" s="324"/>
      <c r="G166" s="324"/>
      <c r="H166" s="324"/>
      <c r="I166" s="324"/>
      <c r="J166" s="324"/>
      <c r="K166" s="324"/>
      <c r="L166" s="324"/>
      <c r="M166" s="324"/>
    </row>
    <row r="167" spans="1:13" ht="12.75" customHeight="1" x14ac:dyDescent="0.25">
      <c r="A167" s="99" t="s">
        <v>456</v>
      </c>
      <c r="B167" s="98"/>
      <c r="C167" s="324"/>
      <c r="D167" s="324"/>
      <c r="E167" s="324"/>
      <c r="F167" s="324"/>
      <c r="G167" s="324"/>
      <c r="H167" s="324"/>
      <c r="I167" s="324"/>
      <c r="J167" s="324"/>
      <c r="K167" s="324"/>
      <c r="L167" s="324"/>
      <c r="M167" s="324"/>
    </row>
    <row r="168" spans="1:13" ht="12.75" customHeight="1" x14ac:dyDescent="0.25">
      <c r="A168" s="99" t="s">
        <v>16</v>
      </c>
      <c r="B168" s="93"/>
      <c r="C168" s="96"/>
      <c r="D168" s="96"/>
      <c r="E168" s="96"/>
      <c r="F168" s="96"/>
      <c r="G168" s="96"/>
      <c r="H168" s="96"/>
      <c r="I168" s="96"/>
      <c r="J168" s="96"/>
      <c r="K168" s="96"/>
      <c r="L168" s="96"/>
      <c r="M168" s="96"/>
    </row>
    <row r="169" spans="1:13" ht="12.75" customHeight="1" x14ac:dyDescent="0.25">
      <c r="A169" s="1389" t="s">
        <v>17</v>
      </c>
      <c r="B169" s="1389"/>
      <c r="C169" s="1389"/>
      <c r="D169" s="1389"/>
      <c r="E169" s="1389"/>
      <c r="F169" s="1389"/>
      <c r="G169" s="1389"/>
      <c r="H169" s="1389"/>
      <c r="I169" s="1389"/>
      <c r="J169" s="1389"/>
      <c r="K169" s="1389"/>
      <c r="L169" s="1389"/>
      <c r="M169" s="1389"/>
    </row>
    <row r="170" spans="1:13" ht="12.75" customHeight="1" x14ac:dyDescent="0.25">
      <c r="A170" s="1428" t="s">
        <v>18</v>
      </c>
      <c r="B170" s="1389"/>
      <c r="C170" s="1389"/>
      <c r="D170" s="1389"/>
      <c r="E170" s="1389"/>
      <c r="F170" s="1389"/>
      <c r="G170" s="1389"/>
      <c r="H170" s="1389"/>
      <c r="I170" s="1389"/>
      <c r="J170" s="1389"/>
      <c r="K170" s="1389"/>
      <c r="L170" s="1389"/>
      <c r="M170" s="1389"/>
    </row>
  </sheetData>
  <mergeCells count="6">
    <mergeCell ref="A170:M170"/>
    <mergeCell ref="A165:M165"/>
    <mergeCell ref="A2:A4"/>
    <mergeCell ref="B2:B4"/>
    <mergeCell ref="C2:K2"/>
    <mergeCell ref="A169:M169"/>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4" activePane="bottomRight" state="frozen"/>
      <selection activeCell="C6" sqref="C6"/>
      <selection pane="topRight" activeCell="C6" sqref="C6"/>
      <selection pane="bottomLeft" activeCell="C6" sqref="C6"/>
      <selection pane="bottomRight" activeCell="E9" sqref="E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LIM333 Greater Tzaneen - Supporting Table SB4 Adjustments to budgeted performance indicators and benchmarks - 27/02/2019</v>
      </c>
      <c r="C1" s="58"/>
    </row>
    <row r="2" spans="1:10" ht="38.25" x14ac:dyDescent="0.25">
      <c r="A2" s="1398" t="str">
        <f>desc&amp;" of financial indicator"</f>
        <v>Description of financial indicator</v>
      </c>
      <c r="B2" s="1393" t="s">
        <v>19</v>
      </c>
      <c r="C2" s="325" t="str">
        <f>Head1B</f>
        <v>2015/16</v>
      </c>
      <c r="D2" s="326" t="str">
        <f>Head1A</f>
        <v>2016/17</v>
      </c>
      <c r="E2" s="326" t="str">
        <f>Head1</f>
        <v>2017/18</v>
      </c>
      <c r="F2" s="1425" t="str">
        <f>Head2</f>
        <v>Budget Year 2018/19</v>
      </c>
      <c r="G2" s="1391"/>
      <c r="H2" s="1392"/>
      <c r="I2" s="169" t="str">
        <f>Head10</f>
        <v>Budget Year +1 2019/20</v>
      </c>
      <c r="J2" s="170" t="str">
        <f>Head11</f>
        <v>Budget Year +2 2020/21</v>
      </c>
    </row>
    <row r="3" spans="1:10" ht="25.5" x14ac:dyDescent="0.25">
      <c r="A3" s="1429"/>
      <c r="B3" s="1402"/>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20</v>
      </c>
      <c r="B4" s="331"/>
      <c r="C4" s="242"/>
      <c r="D4" s="1044"/>
      <c r="E4" s="1044"/>
      <c r="F4" s="243"/>
      <c r="G4" s="243"/>
      <c r="H4" s="243"/>
      <c r="I4" s="332"/>
      <c r="J4" s="245"/>
    </row>
    <row r="5" spans="1:10" ht="3" customHeight="1" x14ac:dyDescent="0.25">
      <c r="A5" s="333"/>
      <c r="B5" s="331"/>
      <c r="C5" s="128"/>
      <c r="D5" s="1043"/>
      <c r="E5" s="1043"/>
      <c r="F5" s="335"/>
      <c r="G5" s="335"/>
      <c r="H5" s="335"/>
      <c r="I5" s="336"/>
      <c r="J5" s="337"/>
    </row>
    <row r="6" spans="1:10" x14ac:dyDescent="0.25">
      <c r="A6" s="333" t="s">
        <v>21</v>
      </c>
      <c r="B6" s="331" t="s">
        <v>22</v>
      </c>
      <c r="C6" s="338"/>
      <c r="D6" s="334"/>
      <c r="E6" s="334"/>
      <c r="F6" s="334"/>
      <c r="G6" s="334"/>
      <c r="H6" s="334"/>
      <c r="I6" s="339"/>
      <c r="J6" s="340"/>
    </row>
    <row r="7" spans="1:10" ht="24" customHeight="1" x14ac:dyDescent="0.25">
      <c r="A7" s="333" t="s">
        <v>23</v>
      </c>
      <c r="B7" s="331" t="s">
        <v>24</v>
      </c>
      <c r="C7" s="338">
        <v>2.3289784610964738E-2</v>
      </c>
      <c r="D7" s="334">
        <v>3.9630719654759686E-2</v>
      </c>
      <c r="E7" s="334">
        <v>2.4E-2</v>
      </c>
      <c r="F7" s="335">
        <f>IF(ISERROR(('B4-FinPerf RE'!C30-'B7-CFlow'!C37)/'B4-FinPerf RE'!C37),0,(('B4-FinPerf RE'!C30-'B7-CFlow'!C37)/'B4-FinPerf RE'!C37))</f>
        <v>3.2263511970220315E-2</v>
      </c>
      <c r="G7" s="335">
        <f>IF(ISERROR(('B4-FinPerf RE'!D30-'B7-CFlow'!D37)/'B4-FinPerf RE'!D37),0,(('B4-FinPerf RE'!D30-'B7-CFlow'!D37)/'B4-FinPerf RE'!D37))</f>
        <v>0</v>
      </c>
      <c r="H7" s="335">
        <f>IF(ISERROR(('B4-FinPerf RE'!K30-'B7-CFlow'!K37)/'B4-FinPerf RE'!K37),0,(('B4-FinPerf RE'!K30-'B7-CFlow'!K37)/'B4-FinPerf RE'!K37))</f>
        <v>3.1673124030896498E-2</v>
      </c>
      <c r="I7" s="336">
        <f>IF(ISERROR(('B4-FinPerf RE'!L30-'B7-CFlow'!L37)/'B4-FinPerf RE'!L37),0,(('B4-FinPerf RE'!L30-'B7-CFlow'!L37)/'B4-FinPerf RE'!L37))</f>
        <v>3.1707224293478213E-2</v>
      </c>
      <c r="J7" s="337">
        <f>IF(ISERROR(('B4-FinPerf RE'!M30-'B7-CFlow'!M37)/'B4-FinPerf RE'!M37),0,(('B4-FinPerf RE'!M30-'B7-CFlow'!M37)/'B4-FinPerf RE'!M37))</f>
        <v>3.4291502887007268E-2</v>
      </c>
    </row>
    <row r="8" spans="1:10" ht="24" customHeight="1" x14ac:dyDescent="0.25">
      <c r="A8" s="333" t="s">
        <v>1457</v>
      </c>
      <c r="B8" s="1096" t="s">
        <v>1458</v>
      </c>
      <c r="C8" s="338">
        <v>4.0414982986885138E-2</v>
      </c>
      <c r="D8" s="334">
        <v>6.7162150520256925E-2</v>
      </c>
      <c r="E8" s="334">
        <v>4.1000000000000002E-2</v>
      </c>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1122</v>
      </c>
      <c r="B9" s="331" t="s">
        <v>1123</v>
      </c>
      <c r="C9" s="338">
        <v>2.1675014959561403</v>
      </c>
      <c r="D9" s="334">
        <v>0</v>
      </c>
      <c r="E9" s="334">
        <v>0.26569999999999999</v>
      </c>
      <c r="F9" s="335">
        <f>IF(ISERROR('B5-Capex'!C74/('B5-Capex'!C65-'B5-Capex'!C72)),0,('B5-Capex'!C74/('B5-Capex'!C65-'B5-Capex'!C72)))</f>
        <v>0.83720930232558144</v>
      </c>
      <c r="G9" s="335">
        <f>IF(ISERROR('B5-Capex'!D74/('B5-Capex'!D65-'B5-Capex'!D72)),0,('B5-Capex'!D74/('B5-Capex'!D65-'B5-Capex'!D72)))</f>
        <v>0</v>
      </c>
      <c r="H9" s="335">
        <f>IF(ISERROR('B5-Capex'!K74/('B5-Capex'!K65-'B5-Capex'!L72)),0,('B5-Capex'!K74/('B5-Capex'!K65-'B5-Capex'!L72)))</f>
        <v>0.62336203832404879</v>
      </c>
      <c r="I9" s="336">
        <f>IF(ISERROR('B5-Capex'!L74/('B5-Capex'!L65-'B5-Capex'!M72)),0,('B5-Capex'!L74/('B5-Capex'!L65-'B5-Capex'!M72)))</f>
        <v>0.66929140445781543</v>
      </c>
      <c r="J9" s="337">
        <f>IF(ISERROR('B5-Capex'!M74/('B5-Capex'!M65-'B5-Capex'!N72)),0,('B5-Capex'!M74/('B5-Capex'!M65-'B5-Capex'!N72)))</f>
        <v>0.21479585444000932</v>
      </c>
    </row>
    <row r="10" spans="1:10" x14ac:dyDescent="0.25">
      <c r="A10" s="330" t="s">
        <v>26</v>
      </c>
      <c r="B10" s="331"/>
      <c r="C10" s="338"/>
      <c r="D10" s="334"/>
      <c r="E10" s="334"/>
      <c r="F10" s="335"/>
      <c r="G10" s="335"/>
      <c r="H10" s="335"/>
      <c r="I10" s="336"/>
      <c r="J10" s="337"/>
    </row>
    <row r="11" spans="1:10" ht="24.75" customHeight="1" x14ac:dyDescent="0.25">
      <c r="A11" s="333" t="s">
        <v>27</v>
      </c>
      <c r="B11" s="331" t="s">
        <v>28</v>
      </c>
      <c r="C11" s="338">
        <v>0</v>
      </c>
      <c r="D11" s="334">
        <v>0</v>
      </c>
      <c r="E11" s="334">
        <v>0</v>
      </c>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29</v>
      </c>
      <c r="B12" s="331"/>
      <c r="C12" s="338"/>
      <c r="D12" s="334"/>
      <c r="E12" s="334"/>
      <c r="F12" s="335"/>
      <c r="G12" s="335"/>
      <c r="H12" s="335"/>
      <c r="I12" s="336"/>
      <c r="J12" s="337"/>
    </row>
    <row r="13" spans="1:10" x14ac:dyDescent="0.25">
      <c r="A13" s="333" t="s">
        <v>30</v>
      </c>
      <c r="B13" s="331" t="s">
        <v>31</v>
      </c>
      <c r="C13" s="338">
        <v>1.6406480852037495</v>
      </c>
      <c r="D13" s="334">
        <v>1.6528530034249302</v>
      </c>
      <c r="E13" s="334">
        <v>1.6129</v>
      </c>
      <c r="F13" s="335">
        <f>IF(ISERROR('B6-FinPos'!C14/'B6-FinPos'!C36),0,('B6-FinPos'!C14/'B6-FinPos'!C36))</f>
        <v>1.4594316758945212</v>
      </c>
      <c r="G13" s="335">
        <f>IF(ISERROR('B6-FinPos'!D14/'B6-FinPos'!D36),0,('B6-FinPos'!D14/'B6-FinPos'!D36))</f>
        <v>0</v>
      </c>
      <c r="H13" s="335">
        <f>IF(ISERROR('B6-FinPos'!K14/'B6-FinPos'!K36),0,('B6-FinPos'!K14/'B6-FinPos'!K36))</f>
        <v>1.4403199716545052</v>
      </c>
      <c r="I13" s="336">
        <f>IF(ISERROR('B6-FinPos'!L14/'B6-FinPos'!L36),0,('B6-FinPos'!L14/'B6-FinPos'!L36))</f>
        <v>1.4513740851367927</v>
      </c>
      <c r="J13" s="337">
        <f>IF(ISERROR('B6-FinPos'!M14/'B6-FinPos'!M36),0,('B6-FinPos'!M14/'B6-FinPos'!M36))</f>
        <v>1.4833774605081658</v>
      </c>
    </row>
    <row r="14" spans="1:10" ht="25.5" x14ac:dyDescent="0.25">
      <c r="A14" s="333" t="s">
        <v>32</v>
      </c>
      <c r="B14" s="331" t="s">
        <v>1124</v>
      </c>
      <c r="C14" s="338">
        <v>1.6406480852037495</v>
      </c>
      <c r="D14" s="334">
        <v>1.6528530034249302</v>
      </c>
      <c r="E14" s="334">
        <v>1.6129</v>
      </c>
      <c r="F14" s="335">
        <f>IF(ISERROR(('B6-FinPos'!C14-'SB4'!F44)/'B6-FinPos'!C36),0,(('B6-FinPos'!C14-'SB4'!F44)/'B6-FinPos'!C36))</f>
        <v>1.4594316758945212</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33</v>
      </c>
      <c r="B15" s="331" t="s">
        <v>34</v>
      </c>
      <c r="C15" s="338">
        <v>0.21702229039563828</v>
      </c>
      <c r="D15" s="334">
        <v>0.11841050862616051</v>
      </c>
      <c r="E15" s="334">
        <v>2.81E-2</v>
      </c>
      <c r="F15" s="888">
        <f>IF(ISERROR(('B6-FinPos'!C8+'B6-FinPos'!C9)/'B6-FinPos'!C36),0,(('B6-FinPos'!C8+'B6-FinPos'!C9)/'B6-FinPos'!C36))</f>
        <v>4.5743842485167427E-2</v>
      </c>
      <c r="G15" s="888">
        <f>IF(ISERROR(('B6-FinPos'!D8+'B6-FinPos'!D9)/'B6-FinPos'!D36),0,(('B6-FinPos'!D8+'B6-FinPos'!D9)/'B6-FinPos'!D36))</f>
        <v>0</v>
      </c>
      <c r="H15" s="888">
        <f>IF(ISERROR(('B6-FinPos'!K8+'B6-FinPos'!K9)/'B6-FinPos'!K36),0,(('B6-FinPos'!K8+'B6-FinPos'!K9)/'B6-FinPos'!K36))</f>
        <v>2.6632138245151493E-2</v>
      </c>
      <c r="I15" s="889">
        <f>IF(ISERROR(('B6-FinPos'!L8+'B6-FinPos'!L9)/'B6-FinPos'!L36),0,(('B6-FinPos'!L8+'B6-FinPos'!L9)/'B6-FinPos'!L36))</f>
        <v>3.0078644936193662E-2</v>
      </c>
      <c r="J15" s="890">
        <f>IF(ISERROR(('B6-FinPos'!M8+'B6-FinPos'!M9)/'B6-FinPos'!M36),0,(('B6-FinPos'!M8+'B6-FinPos'!M9)/'B6-FinPos'!M36))</f>
        <v>6.7921453292752468E-2</v>
      </c>
    </row>
    <row r="16" spans="1:10" x14ac:dyDescent="0.25">
      <c r="A16" s="330" t="s">
        <v>35</v>
      </c>
      <c r="B16" s="331"/>
      <c r="C16" s="338"/>
      <c r="D16" s="334"/>
      <c r="E16" s="334"/>
      <c r="F16" s="335"/>
      <c r="G16" s="335"/>
      <c r="H16" s="335"/>
      <c r="I16" s="336"/>
      <c r="J16" s="337"/>
    </row>
    <row r="17" spans="1:10" ht="24.75" customHeight="1" x14ac:dyDescent="0.25">
      <c r="A17" s="333" t="s">
        <v>36</v>
      </c>
      <c r="B17" s="331" t="s">
        <v>37</v>
      </c>
      <c r="C17" s="338">
        <v>0.91131489726644377</v>
      </c>
      <c r="D17" s="334">
        <v>0.9180920103253698</v>
      </c>
      <c r="E17" s="334">
        <v>1</v>
      </c>
      <c r="F17" s="334">
        <v>0.92214769917424744</v>
      </c>
      <c r="G17" s="334">
        <v>0.92200000000000004</v>
      </c>
      <c r="H17" s="334">
        <v>0.92200000000000004</v>
      </c>
      <c r="I17" s="341">
        <v>1</v>
      </c>
      <c r="J17" s="342">
        <v>1</v>
      </c>
    </row>
    <row r="18" spans="1:10" ht="24.75" customHeight="1" x14ac:dyDescent="0.25">
      <c r="A18" s="333" t="s">
        <v>1459</v>
      </c>
      <c r="B18" s="331"/>
      <c r="C18" s="338">
        <v>0.9180920103253698</v>
      </c>
      <c r="D18" s="334">
        <v>0.97734451889795937</v>
      </c>
      <c r="E18" s="334">
        <v>1</v>
      </c>
      <c r="F18" s="334">
        <v>1</v>
      </c>
      <c r="G18" s="334">
        <v>1</v>
      </c>
      <c r="H18" s="334">
        <v>1</v>
      </c>
      <c r="I18" s="341">
        <v>1</v>
      </c>
      <c r="J18" s="342">
        <v>1</v>
      </c>
    </row>
    <row r="19" spans="1:10" ht="24.75" customHeight="1" x14ac:dyDescent="0.25">
      <c r="A19" s="333" t="s">
        <v>38</v>
      </c>
      <c r="B19" s="331" t="s">
        <v>39</v>
      </c>
      <c r="C19" s="338">
        <v>0.34000665907339028</v>
      </c>
      <c r="D19" s="334">
        <v>0.37429373078910133</v>
      </c>
      <c r="E19" s="334">
        <v>0.32100000000000001</v>
      </c>
      <c r="F19" s="335">
        <f>IF(ISERROR((SUM('B6-FinPos'!C10:C12)+'B6-FinPos'!C17)/'B4-FinPerf RE'!C23),0,((SUM('B6-FinPos'!C10:C12)+'B6-FinPos'!C17)/'B4-FinPerf RE'!C23))</f>
        <v>0.31018779597997764</v>
      </c>
      <c r="G19" s="335">
        <f>IF(ISERROR((SUM('B6-FinPos'!D10:D12)+'B6-FinPos'!D17)/'B4-FinPerf RE'!D23),0,((SUM('B6-FinPos'!D10:D12)+'B6-FinPos'!D17)/'B4-FinPerf RE'!D23))</f>
        <v>0</v>
      </c>
      <c r="H19" s="335">
        <f>IF(ISERROR((SUM('B6-FinPos'!K10:K12)+'B6-FinPos'!K17)/'B4-FinPerf RE'!K23),0,((SUM('B6-FinPos'!K10:K12)+'B6-FinPos'!K17)/'B4-FinPerf RE'!K23))</f>
        <v>0.31033026847827028</v>
      </c>
      <c r="I19" s="336">
        <f>IF(ISERROR((SUM('B6-FinPos'!L10:L12)+'B6-FinPos'!L17)/'B4-FinPerf RE'!L23),0,((SUM('B6-FinPos'!L10:L12)+'B6-FinPos'!L17)/'B4-FinPerf RE'!L23))</f>
        <v>0.29414978975035166</v>
      </c>
      <c r="J19" s="337">
        <f>IF(ISERROR((SUM('B6-FinPos'!M10:M12)+'B6-FinPos'!M17)/'B4-FinPerf RE'!M23),0,((SUM('B6-FinPos'!M10:M12)+'B6-FinPos'!M17)/'B4-FinPerf RE'!M23))</f>
        <v>0.27962402527486446</v>
      </c>
    </row>
    <row r="20" spans="1:10" ht="25.5" x14ac:dyDescent="0.25">
      <c r="A20" s="333" t="s">
        <v>40</v>
      </c>
      <c r="B20" s="331" t="s">
        <v>41</v>
      </c>
      <c r="C20" s="338">
        <v>0</v>
      </c>
      <c r="D20" s="334">
        <v>0</v>
      </c>
      <c r="E20" s="334">
        <v>0</v>
      </c>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42</v>
      </c>
      <c r="B21" s="331"/>
      <c r="C21" s="338"/>
      <c r="D21" s="334"/>
      <c r="E21" s="334"/>
      <c r="F21" s="335"/>
      <c r="G21" s="335"/>
      <c r="H21" s="335"/>
      <c r="I21" s="336"/>
      <c r="J21" s="337"/>
    </row>
    <row r="22" spans="1:10" ht="25.5" x14ac:dyDescent="0.25">
      <c r="A22" s="333" t="s">
        <v>43</v>
      </c>
      <c r="B22" s="331" t="s">
        <v>44</v>
      </c>
      <c r="C22" s="338">
        <v>0.95</v>
      </c>
      <c r="D22" s="334">
        <v>0.95</v>
      </c>
      <c r="E22" s="334">
        <v>0.95</v>
      </c>
      <c r="F22" s="334">
        <v>0.95</v>
      </c>
      <c r="G22" s="334">
        <v>0.95</v>
      </c>
      <c r="H22" s="334">
        <v>0.95</v>
      </c>
      <c r="I22" s="341">
        <v>0.95</v>
      </c>
      <c r="J22" s="342">
        <v>0.95</v>
      </c>
    </row>
    <row r="23" spans="1:10" x14ac:dyDescent="0.25">
      <c r="A23" s="333" t="s">
        <v>1460</v>
      </c>
      <c r="B23" s="331"/>
      <c r="C23" s="338">
        <v>2.76E-2</v>
      </c>
      <c r="D23" s="334">
        <v>5.5E-2</v>
      </c>
      <c r="E23" s="334">
        <v>0.04</v>
      </c>
      <c r="F23" s="335">
        <f>IF(ISERROR('SB2'!C32/'B7-CFlow'!C42), 0, ('SB2'!C32/'B7-CFlow'!C42))</f>
        <v>15.502039056272416</v>
      </c>
      <c r="G23" s="335">
        <f>IF(ISERROR('SB2'!D32/'B7-CFlow'!D42), 0, ('SB2'!D32/'B7-CFlow'!D42))</f>
        <v>0</v>
      </c>
      <c r="H23" s="335">
        <f>IF(ISERROR('SB2'!K32/'B7-CFlow'!K42), 0, ('SB2'!K32/'B7-CFlow'!K42))</f>
        <v>26.627672151599032</v>
      </c>
      <c r="I23" s="335">
        <f>IF(ISERROR('SB2'!L32/'B7-CFlow'!L42), 0, ('SB2'!L32/'B7-CFlow'!L42))</f>
        <v>23.181637385880105</v>
      </c>
      <c r="J23" s="337">
        <f>IF(ISERROR('SB2'!M32/'B7-CFlow'!M42), 0, ('SB2'!M32/'B7-CFlow'!M42))</f>
        <v>9.9987030955635969</v>
      </c>
    </row>
    <row r="24" spans="1:10" ht="5.25" customHeight="1" x14ac:dyDescent="0.25">
      <c r="A24" s="333"/>
      <c r="B24" s="331"/>
      <c r="C24" s="338"/>
      <c r="D24" s="334"/>
      <c r="E24" s="334"/>
      <c r="F24" s="334"/>
      <c r="G24" s="334"/>
      <c r="H24" s="334"/>
      <c r="I24" s="341"/>
      <c r="J24" s="342"/>
    </row>
    <row r="25" spans="1:10" x14ac:dyDescent="0.25">
      <c r="A25" s="330" t="s">
        <v>45</v>
      </c>
      <c r="B25" s="331"/>
      <c r="C25" s="338"/>
      <c r="D25" s="334"/>
      <c r="E25" s="334"/>
      <c r="F25" s="335"/>
      <c r="G25" s="335"/>
      <c r="H25" s="335"/>
      <c r="I25" s="336"/>
      <c r="J25" s="337"/>
    </row>
    <row r="26" spans="1:10" ht="18.75" customHeight="1" x14ac:dyDescent="0.25">
      <c r="A26" s="1430" t="s">
        <v>46</v>
      </c>
      <c r="B26" s="694" t="s">
        <v>1437</v>
      </c>
      <c r="C26" s="1059">
        <v>0.19570000000000001</v>
      </c>
      <c r="D26" s="1060">
        <v>0.219</v>
      </c>
      <c r="E26" s="1060">
        <v>0.22</v>
      </c>
      <c r="F26" s="1060">
        <v>0.15</v>
      </c>
      <c r="G26" s="1060">
        <v>0.15</v>
      </c>
      <c r="H26" s="1060">
        <v>0.15</v>
      </c>
      <c r="I26" s="1061">
        <v>0.15</v>
      </c>
      <c r="J26" s="342">
        <v>0.15</v>
      </c>
    </row>
    <row r="27" spans="1:10" ht="18.75" customHeight="1" x14ac:dyDescent="0.25">
      <c r="A27" s="1430"/>
      <c r="B27" s="694" t="s">
        <v>1438</v>
      </c>
      <c r="C27" s="746">
        <v>59812445</v>
      </c>
      <c r="D27" s="745">
        <v>99452443</v>
      </c>
      <c r="E27" s="745">
        <v>108946468</v>
      </c>
      <c r="F27" s="745">
        <v>33465814</v>
      </c>
      <c r="G27" s="745">
        <v>33465814</v>
      </c>
      <c r="H27" s="745">
        <v>33465814</v>
      </c>
      <c r="I27" s="745">
        <v>33465814</v>
      </c>
      <c r="J27" s="1058">
        <v>33465814</v>
      </c>
    </row>
    <row r="28" spans="1:10" ht="39.75" customHeight="1" x14ac:dyDescent="0.25">
      <c r="A28" s="1080"/>
      <c r="B28" s="1098" t="s">
        <v>1461</v>
      </c>
      <c r="C28" s="746">
        <v>0.19570000000000001</v>
      </c>
      <c r="D28" s="745">
        <v>0.21920000000000001</v>
      </c>
      <c r="E28" s="745">
        <v>22.01</v>
      </c>
      <c r="F28" s="745">
        <v>0.15</v>
      </c>
      <c r="G28" s="745">
        <v>0.15</v>
      </c>
      <c r="H28" s="745">
        <v>0.15</v>
      </c>
      <c r="I28" s="1097">
        <v>0.15</v>
      </c>
      <c r="J28" s="1058">
        <v>0.15</v>
      </c>
    </row>
    <row r="29" spans="1:10" ht="18.75" customHeight="1" x14ac:dyDescent="0.25">
      <c r="A29" s="1430" t="s">
        <v>47</v>
      </c>
      <c r="B29" s="694" t="s">
        <v>1439</v>
      </c>
      <c r="C29" s="1059"/>
      <c r="D29" s="1060"/>
      <c r="E29" s="1060"/>
      <c r="F29" s="1060"/>
      <c r="G29" s="1060"/>
      <c r="H29" s="1060"/>
      <c r="I29" s="1061"/>
      <c r="J29" s="342"/>
    </row>
    <row r="30" spans="1:10" ht="18.75" customHeight="1" x14ac:dyDescent="0.25">
      <c r="A30" s="1430"/>
      <c r="B30" s="694" t="s">
        <v>1438</v>
      </c>
      <c r="C30" s="746"/>
      <c r="D30" s="745"/>
      <c r="E30" s="745"/>
      <c r="F30" s="745"/>
      <c r="G30" s="745"/>
      <c r="H30" s="745"/>
      <c r="I30" s="745"/>
      <c r="J30" s="1058"/>
    </row>
    <row r="31" spans="1:10" ht="40.5" customHeight="1" x14ac:dyDescent="0.25">
      <c r="A31" s="1099"/>
      <c r="B31" s="1098" t="s">
        <v>1461</v>
      </c>
      <c r="C31" s="746"/>
      <c r="D31" s="745"/>
      <c r="E31" s="745"/>
      <c r="F31" s="745"/>
      <c r="G31" s="745"/>
      <c r="H31" s="745"/>
      <c r="I31" s="745"/>
      <c r="J31" s="1058"/>
    </row>
    <row r="32" spans="1:10" ht="25.5" x14ac:dyDescent="0.25">
      <c r="A32" s="333" t="s">
        <v>563</v>
      </c>
      <c r="B32" s="331" t="s">
        <v>48</v>
      </c>
      <c r="C32" s="338">
        <v>0.2553516186095503</v>
      </c>
      <c r="D32" s="334">
        <v>0.24836273714905863</v>
      </c>
      <c r="E32" s="334">
        <v>0.25559999999999999</v>
      </c>
      <c r="F32" s="335">
        <f>IF(ISERROR('B4-FinPerf RE'!C26/'B4-FinPerf RE'!C23),0,('B4-FinPerf RE'!C26/'B4-FinPerf RE'!C23))</f>
        <v>0.3149580045584604</v>
      </c>
      <c r="G32" s="335">
        <f>IF(ISERROR('B4-FinPerf RE'!D26/'B4-FinPerf RE'!D23),0,('B4-FinPerf RE'!D26/'B4-FinPerf RE'!D23))</f>
        <v>0</v>
      </c>
      <c r="H32" s="335">
        <f>IF(ISERROR('B4-FinPerf RE'!K26/'B4-FinPerf RE'!K23),0,('B4-FinPerf RE'!K26/'B4-FinPerf RE'!K23))</f>
        <v>0.30953674945859216</v>
      </c>
      <c r="I32" s="335">
        <f>IF(ISERROR('B4-FinPerf RE'!L26/'B4-FinPerf RE'!L23),0,('B4-FinPerf RE'!L26/'B4-FinPerf RE'!L23))</f>
        <v>0.30632817937841006</v>
      </c>
      <c r="J32" s="337">
        <f>IF(ISERROR('B4-FinPerf RE'!M26/'B4-FinPerf RE'!M23),0,('B4-FinPerf RE'!M26/'B4-FinPerf RE'!M23))</f>
        <v>0.3040274121927462</v>
      </c>
    </row>
    <row r="33" spans="1:12" ht="25.5" x14ac:dyDescent="0.25">
      <c r="A33" s="333" t="s">
        <v>1462</v>
      </c>
      <c r="B33" s="1096" t="s">
        <v>1463</v>
      </c>
      <c r="C33" s="338">
        <v>0.27673549337758246</v>
      </c>
      <c r="D33" s="334">
        <v>0.27050342209714734</v>
      </c>
      <c r="E33" s="334">
        <v>0.27831296097231539</v>
      </c>
      <c r="F33" s="335"/>
      <c r="G33" s="335"/>
      <c r="H33" s="335"/>
      <c r="I33" s="335"/>
      <c r="J33" s="337"/>
    </row>
    <row r="34" spans="1:12" ht="25.5" x14ac:dyDescent="0.25">
      <c r="A34" s="333" t="s">
        <v>49</v>
      </c>
      <c r="B34" s="331" t="s">
        <v>50</v>
      </c>
      <c r="C34" s="338">
        <v>2.4549475794565064E-2</v>
      </c>
      <c r="D34" s="334">
        <v>3.2405933901261147E-2</v>
      </c>
      <c r="E34" s="334">
        <v>4.0431472150890171E-2</v>
      </c>
      <c r="F34" s="335">
        <f>IF(ISERROR('B9-Asset'!C171/'B4-FinPerf RE'!C23),0,('B9-Asset'!C171/'B4-FinPerf RE'!C23))</f>
        <v>4.6993548217484644E-2</v>
      </c>
      <c r="G34" s="335">
        <f>IF(ISERROR('B9-Asset'!D171/'B4-FinPerf RE'!D23),0,('B9-Asset'!D171/'B4-FinPerf RE'!D23))</f>
        <v>0</v>
      </c>
      <c r="H34" s="335">
        <f>IF(ISERROR('B9-Asset'!K171/'B4-FinPerf RE'!K23),0,('B9-Asset'!K171/'B4-FinPerf RE'!K23))</f>
        <v>5.6018910300216392E-2</v>
      </c>
      <c r="I34" s="335">
        <f>IF(ISERROR('B9-Asset'!L171/'B4-FinPerf RE'!L23),0,('B9-Asset'!L171/'B4-FinPerf RE'!L23))</f>
        <v>5.1783930078720647E-2</v>
      </c>
      <c r="J34" s="337">
        <f>IF(ISERROR('B9-Asset'!M171/'B4-FinPerf RE'!M23),0,('B9-Asset'!M171/'B4-FinPerf RE'!M23))</f>
        <v>5.1394991963811504E-2</v>
      </c>
    </row>
    <row r="35" spans="1:12" ht="25.5" x14ac:dyDescent="0.25">
      <c r="A35" s="333" t="s">
        <v>51</v>
      </c>
      <c r="B35" s="331" t="s">
        <v>52</v>
      </c>
      <c r="C35" s="338">
        <v>0.16396425600968895</v>
      </c>
      <c r="D35" s="334">
        <v>0.12854380339905458</v>
      </c>
      <c r="E35" s="334">
        <v>0.12596656457015873</v>
      </c>
      <c r="F35" s="335">
        <f>IF(ISERROR(('B4-FinPerf RE'!C29+'B4-FinPerf RE'!C30)/'B4-FinPerf RE'!C23),0,(('B4-FinPerf RE'!C29+'B4-FinPerf RE'!C30)/'B4-FinPerf RE'!C23))</f>
        <v>0.14684213342722618</v>
      </c>
      <c r="G35" s="335">
        <f>IF(ISERROR(('B4-FinPerf RE'!D29+'B4-FinPerf RE'!D30)/'B4-FinPerf RE'!D23),0,(('B4-FinPerf RE'!D29+'B4-FinPerf RE'!D30)/'B4-FinPerf RE'!D23))</f>
        <v>0</v>
      </c>
      <c r="H35" s="335">
        <f>IF(ISERROR(('B4-FinPerf RE'!K29+'B4-FinPerf RE'!K30)/'B4-FinPerf RE'!K23),0,(('B4-FinPerf RE'!K29+'B4-FinPerf RE'!K30)/'B4-FinPerf RE'!K23))</f>
        <v>0.14690957955462103</v>
      </c>
      <c r="I35" s="336">
        <f>IF(ISERROR(('B4-FinPerf RE'!L29+'B4-FinPerf RE'!L30)/'B4-FinPerf RE'!L23),0,(('B4-FinPerf RE'!L29+'B4-FinPerf RE'!L30)/'B4-FinPerf RE'!L23))</f>
        <v>0.14072250610558942</v>
      </c>
      <c r="J35" s="337">
        <f>IF(ISERROR(('B4-FinPerf RE'!M29+'B4-FinPerf RE'!M30)/'B4-FinPerf RE'!M23),0,(('B4-FinPerf RE'!M29+'B4-FinPerf RE'!M30)/'B4-FinPerf RE'!M23))</f>
        <v>0.13647656225168575</v>
      </c>
    </row>
    <row r="36" spans="1:12" x14ac:dyDescent="0.25">
      <c r="A36" s="330" t="s">
        <v>53</v>
      </c>
      <c r="B36" s="331"/>
      <c r="C36" s="338"/>
      <c r="D36" s="334"/>
      <c r="E36" s="334"/>
      <c r="F36" s="335"/>
      <c r="G36" s="335"/>
      <c r="H36" s="335"/>
      <c r="I36" s="336"/>
      <c r="J36" s="337"/>
    </row>
    <row r="37" spans="1:12" ht="39.75" customHeight="1" x14ac:dyDescent="0.25">
      <c r="A37" s="333" t="s">
        <v>54</v>
      </c>
      <c r="B37" s="331" t="s">
        <v>55</v>
      </c>
      <c r="C37" s="343">
        <v>0.15873999999999999</v>
      </c>
      <c r="D37" s="334">
        <v>0.16800000000000001</v>
      </c>
      <c r="E37" s="334">
        <v>0.26300000000000001</v>
      </c>
      <c r="F37" s="335">
        <f>IF(ISERROR(('B4-FinPerf RE'!C23-'B4-FinPerf RE'!C20)/('B4-FinPerf RE'!L30-'B7-CFlow'!L37)),0,(('B4-FinPerf RE'!C23-'B4-FinPerf RE'!C20)/('B4-FinPerf RE'!L30-'B7-CFlow'!L37)))</f>
        <v>18.674913232260234</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18.661989015696172</v>
      </c>
      <c r="I37" s="336">
        <f>IF(ISERROR(('B4-FinPerf RE'!L23-'B4-FinPerf RE'!L20)/('B4-FinPerf RE'!M30-'B7-CFlow'!M37)),0,(('B4-FinPerf RE'!L23-'B4-FinPerf RE'!L20)/('B4-FinPerf RE'!M30-'B7-CFlow'!M37)))</f>
        <v>17.381212080453778</v>
      </c>
      <c r="J37" s="337">
        <f>IF(ISERROR(('B4-FinPerf RE'!M23-'B4-FinPerf RE'!M20)/('B4-FinPerf RE'!M30-'B7-CFlow'!M37)),0,(('B4-FinPerf RE'!M23-'B4-FinPerf RE'!M20)/('B4-FinPerf RE'!M30-'B7-CFlow'!M37)))</f>
        <v>18.337178756280533</v>
      </c>
    </row>
    <row r="38" spans="1:12" ht="38.25" x14ac:dyDescent="0.25">
      <c r="A38" s="333" t="s">
        <v>56</v>
      </c>
      <c r="B38" s="331" t="s">
        <v>57</v>
      </c>
      <c r="C38" s="343">
        <v>0.65523062922557584</v>
      </c>
      <c r="D38" s="334">
        <v>0.75617699096073598</v>
      </c>
      <c r="E38" s="334">
        <v>0.71407017368844772</v>
      </c>
      <c r="F38" s="335">
        <f>IF(ISERROR('B6-FinPos'!C10/'B4-FinPerf RE'!C23),0,('B6-FinPos'!C10/'B4-FinPerf RE'!C23))</f>
        <v>0.10025498624375574</v>
      </c>
      <c r="G38" s="335">
        <f>IF(ISERROR('B6-FinPos'!D10/'B4-FinPerf RE'!D23),0,('B6-FinPos'!D10/'B4-FinPerf RE'!D23))</f>
        <v>0</v>
      </c>
      <c r="H38" s="335">
        <f>IF(ISERROR('B6-FinPos'!K10/'B4-FinPerf RE'!K23),0,('B6-FinPos'!K10/'B4-FinPerf RE'!K23))</f>
        <v>0.10030103440729266</v>
      </c>
      <c r="I38" s="336">
        <f>IF(ISERROR('B6-FinPos'!L10/'B4-FinPerf RE'!L23),0,('B6-FinPos'!L10/'B4-FinPerf RE'!L23))</f>
        <v>9.5027446922738526E-2</v>
      </c>
      <c r="J38" s="337">
        <f>IF(ISERROR('B6-FinPos'!M10/'B4-FinPerf RE'!M23),0,('B6-FinPos'!M10/'B4-FinPerf RE'!M23))</f>
        <v>9.0290854613506555E-2</v>
      </c>
    </row>
    <row r="39" spans="1:12" ht="38.25" x14ac:dyDescent="0.25">
      <c r="A39" s="1100" t="s">
        <v>58</v>
      </c>
      <c r="B39" s="1101" t="s">
        <v>59</v>
      </c>
      <c r="C39" s="1102">
        <v>0.77783583722422922</v>
      </c>
      <c r="D39" s="471">
        <v>0.44510669827795546</v>
      </c>
      <c r="E39" s="471">
        <v>0.11501520673700574</v>
      </c>
      <c r="F39" s="1103">
        <f>IF(ISERROR('B7-CFlow'!C42/'SB4'!F46),0,('B7-CFlow'!C42/'SB4'!F46))</f>
        <v>0.15087382778135555</v>
      </c>
      <c r="G39" s="1103">
        <f>IF(ISERROR('B7-CFlow'!D42/'SB4'!G46),0,('B7-CFlow'!D42/'SB4'!G46))</f>
        <v>0</v>
      </c>
      <c r="H39" s="1103">
        <f>IF(ISERROR('B7-CFlow'!K42/'SB4'!H46),0,('B7-CFlow'!K42/'SB4'!H46))</f>
        <v>8.7835390097945179E-2</v>
      </c>
      <c r="I39" s="1104">
        <f>IF(ISERROR('B7-CFlow'!L42/'SB4'!I46),0,('B7-CFlow'!L42/'SB4'!I46))</f>
        <v>9.5278528259985243E-2</v>
      </c>
      <c r="J39" s="1105">
        <f>IF(ISERROR('B7-CFlow'!M42/'SB4'!J46),0,('B7-CFlow'!M42/'SB4'!J46))</f>
        <v>0.20887021556153651</v>
      </c>
    </row>
    <row r="40" spans="1:12" x14ac:dyDescent="0.25">
      <c r="A40" s="158" t="str">
        <f>head27a</f>
        <v>References</v>
      </c>
      <c r="B40" s="48"/>
      <c r="C40" s="48"/>
      <c r="D40" s="48"/>
      <c r="E40" s="48"/>
      <c r="F40" s="48"/>
      <c r="G40" s="48"/>
      <c r="H40" s="48"/>
      <c r="I40" s="48"/>
      <c r="J40" s="48"/>
    </row>
    <row r="41" spans="1:12" x14ac:dyDescent="0.25">
      <c r="A41" s="99" t="s">
        <v>60</v>
      </c>
      <c r="B41" s="48"/>
      <c r="C41" s="48"/>
      <c r="D41" s="48"/>
      <c r="E41" s="48"/>
      <c r="F41" s="48"/>
      <c r="G41" s="48"/>
      <c r="H41" s="48"/>
      <c r="I41" s="48"/>
      <c r="J41" s="48"/>
    </row>
    <row r="42" spans="1:12" x14ac:dyDescent="0.25">
      <c r="A42" s="287" t="s">
        <v>1436</v>
      </c>
      <c r="B42" s="48"/>
      <c r="C42" s="48"/>
      <c r="D42" s="48"/>
      <c r="E42" s="48"/>
      <c r="F42" s="48"/>
      <c r="G42" s="48"/>
      <c r="H42" s="48"/>
      <c r="I42" s="48"/>
      <c r="J42" s="48"/>
    </row>
    <row r="43" spans="1:12" x14ac:dyDescent="0.25">
      <c r="A43" s="344" t="s">
        <v>61</v>
      </c>
      <c r="B43" s="345"/>
      <c r="C43" s="345"/>
      <c r="D43" s="345"/>
      <c r="E43" s="345"/>
      <c r="F43" s="345"/>
      <c r="G43" s="345"/>
      <c r="H43" s="345"/>
      <c r="I43" s="345"/>
      <c r="J43" s="345"/>
    </row>
    <row r="44" spans="1:12" x14ac:dyDescent="0.25">
      <c r="A44" s="345" t="s">
        <v>62</v>
      </c>
      <c r="B44" s="345"/>
      <c r="C44" s="230"/>
      <c r="D44" s="230"/>
      <c r="E44" s="230"/>
      <c r="F44" s="230"/>
      <c r="G44" s="230"/>
      <c r="H44" s="230"/>
      <c r="I44" s="230"/>
      <c r="J44" s="230"/>
      <c r="K44" s="48"/>
      <c r="L44" s="48"/>
    </row>
    <row r="45" spans="1:12" x14ac:dyDescent="0.25">
      <c r="A45" s="345" t="s">
        <v>63</v>
      </c>
      <c r="B45" s="345"/>
      <c r="C45" s="230"/>
      <c r="D45" s="230"/>
      <c r="E45" s="230"/>
      <c r="F45" s="230"/>
      <c r="G45" s="230"/>
      <c r="H45" s="230"/>
      <c r="I45" s="230"/>
      <c r="J45" s="230"/>
      <c r="K45" s="48"/>
      <c r="L45" s="48"/>
    </row>
    <row r="46" spans="1:12" x14ac:dyDescent="0.25">
      <c r="A46" s="345" t="s">
        <v>64</v>
      </c>
      <c r="B46" s="345"/>
      <c r="C46" s="230">
        <v>71208667.100333318</v>
      </c>
      <c r="D46" s="230">
        <v>72973494.782666668</v>
      </c>
      <c r="E46" s="230">
        <v>80204883.599999994</v>
      </c>
      <c r="F46" s="230">
        <v>75936542.463833332</v>
      </c>
      <c r="G46" s="230">
        <v>75936542.463833332</v>
      </c>
      <c r="H46" s="230">
        <v>75936542.463833332</v>
      </c>
      <c r="I46" s="230">
        <v>79614315.80498375</v>
      </c>
      <c r="J46" s="230">
        <v>83365681.899819687</v>
      </c>
      <c r="K46" s="48"/>
      <c r="L46" s="48"/>
    </row>
    <row r="47" spans="1:12" x14ac:dyDescent="0.25">
      <c r="A47" s="345" t="s">
        <v>65</v>
      </c>
      <c r="B47" s="345"/>
      <c r="E47" s="86"/>
      <c r="F47" s="808">
        <v>0.4</v>
      </c>
      <c r="G47" s="346">
        <f>$F$47</f>
        <v>0.4</v>
      </c>
      <c r="H47" s="346">
        <f>$F$47</f>
        <v>0.4</v>
      </c>
      <c r="I47" s="346">
        <f>$F$47</f>
        <v>0.4</v>
      </c>
      <c r="J47" s="346">
        <f>$F$47</f>
        <v>0.4</v>
      </c>
      <c r="K47" s="345" t="s">
        <v>1189</v>
      </c>
      <c r="L47" s="48"/>
    </row>
    <row r="48" spans="1:12" x14ac:dyDescent="0.25">
      <c r="A48" s="5" t="s">
        <v>1464</v>
      </c>
      <c r="B48" s="345"/>
      <c r="C48" s="230">
        <v>28281410.700000003</v>
      </c>
      <c r="D48" s="230">
        <v>41341392.432280704</v>
      </c>
      <c r="E48" s="230">
        <v>55920702</v>
      </c>
      <c r="F48" s="230">
        <v>107500000</v>
      </c>
      <c r="G48" s="230">
        <v>107500000</v>
      </c>
      <c r="H48" s="230">
        <v>107735000</v>
      </c>
      <c r="I48" s="230">
        <v>45235000</v>
      </c>
      <c r="J48" s="230">
        <v>45235000</v>
      </c>
      <c r="K48" s="48"/>
      <c r="L48" s="48"/>
    </row>
    <row r="49" spans="1:12" x14ac:dyDescent="0.25">
      <c r="A49" s="5" t="s">
        <v>578</v>
      </c>
      <c r="B49" s="345"/>
      <c r="C49" s="230">
        <v>61300000</v>
      </c>
      <c r="D49" s="230">
        <v>0</v>
      </c>
      <c r="E49" s="230">
        <v>35063307</v>
      </c>
      <c r="F49" s="230">
        <v>30000000</v>
      </c>
      <c r="G49" s="230">
        <v>30000000</v>
      </c>
      <c r="H49" s="230">
        <v>45000000</v>
      </c>
      <c r="I49" s="230">
        <v>20000000</v>
      </c>
      <c r="J49" s="230">
        <v>30000000</v>
      </c>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16" zoomScaleNormal="100" workbookViewId="0">
      <selection activeCell="N286" sqref="N286:O287"/>
    </sheetView>
  </sheetViews>
  <sheetFormatPr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LIM333 Greater Tzaneen - Supporting Table SB5 Adjustments Budget - social, economic and demographic statistics and assumptions - 27/02/2019</v>
      </c>
      <c r="B1" s="253"/>
      <c r="C1" s="253"/>
      <c r="D1" s="253"/>
      <c r="E1" s="253"/>
      <c r="F1" s="253"/>
      <c r="G1" s="253"/>
      <c r="H1" s="253"/>
      <c r="I1" s="253"/>
      <c r="J1" s="253"/>
      <c r="K1" s="253"/>
    </row>
    <row r="2" spans="1:13" ht="51.75" customHeight="1" x14ac:dyDescent="0.25">
      <c r="A2" s="1435" t="s">
        <v>66</v>
      </c>
      <c r="B2" s="1437" t="s">
        <v>1361</v>
      </c>
      <c r="C2" s="1435" t="s">
        <v>19</v>
      </c>
      <c r="D2" s="1435" t="str">
        <f>Head44</f>
        <v>2001 Census</v>
      </c>
      <c r="E2" s="1435" t="s">
        <v>67</v>
      </c>
      <c r="F2" s="1435" t="str">
        <f>Head45</f>
        <v>2011 Census</v>
      </c>
      <c r="G2" s="1184" t="str">
        <f>Head1B</f>
        <v>2015/16</v>
      </c>
      <c r="H2" s="1185" t="str">
        <f>Head1A</f>
        <v>2016/17</v>
      </c>
      <c r="I2" s="1186" t="str">
        <f>Head1</f>
        <v>2017/18</v>
      </c>
      <c r="J2" s="1187" t="str">
        <f>Head2</f>
        <v>Budget Year 2018/19</v>
      </c>
      <c r="K2" s="1439" t="str">
        <f>Head3</f>
        <v>2018/19 Medium Term Revenue &amp; Expenditure Framework</v>
      </c>
      <c r="L2" s="1439"/>
      <c r="M2" s="1440"/>
    </row>
    <row r="3" spans="1:13" ht="27" customHeight="1" x14ac:dyDescent="0.25">
      <c r="A3" s="1436"/>
      <c r="B3" s="1438"/>
      <c r="C3" s="1436"/>
      <c r="D3" s="1436"/>
      <c r="E3" s="1436"/>
      <c r="F3" s="1436"/>
      <c r="G3" s="1188" t="str">
        <f t="shared" ref="G3:M3" si="0">Head5A</f>
        <v>Outcome</v>
      </c>
      <c r="H3" s="1189" t="str">
        <f t="shared" si="0"/>
        <v>Outcome</v>
      </c>
      <c r="I3" s="1190" t="str">
        <f t="shared" si="0"/>
        <v>Outcome</v>
      </c>
      <c r="J3" s="1191" t="str">
        <f>Head6</f>
        <v>Original Budget</v>
      </c>
      <c r="K3" s="1192" t="str">
        <f t="shared" si="0"/>
        <v>Outcome</v>
      </c>
      <c r="L3" s="1189" t="str">
        <f t="shared" si="0"/>
        <v>Outcome</v>
      </c>
      <c r="M3" s="1193" t="str">
        <f t="shared" si="0"/>
        <v>Outcome</v>
      </c>
    </row>
    <row r="4" spans="1:13" ht="11.25" customHeight="1" x14ac:dyDescent="0.25">
      <c r="A4" s="351" t="s">
        <v>68</v>
      </c>
      <c r="B4" s="1009"/>
      <c r="C4" s="352"/>
      <c r="D4" s="353"/>
      <c r="E4" s="353"/>
      <c r="F4" s="354"/>
      <c r="G4" s="354"/>
      <c r="H4" s="355"/>
      <c r="I4" s="1048"/>
      <c r="J4" s="354"/>
      <c r="K4" s="355"/>
    </row>
    <row r="5" spans="1:13" ht="11.25" customHeight="1" x14ac:dyDescent="0.25">
      <c r="A5" s="356" t="s">
        <v>69</v>
      </c>
      <c r="B5" s="1010"/>
      <c r="C5" s="1345"/>
      <c r="D5" s="1346" t="s">
        <v>1956</v>
      </c>
      <c r="E5" s="1346" t="s">
        <v>1957</v>
      </c>
      <c r="F5" s="1346" t="s">
        <v>1958</v>
      </c>
      <c r="G5" s="1347"/>
      <c r="H5" s="1008"/>
      <c r="I5" s="1005"/>
      <c r="J5" s="367"/>
      <c r="K5" s="367"/>
    </row>
    <row r="6" spans="1:13" ht="11.25" customHeight="1" x14ac:dyDescent="0.25">
      <c r="A6" s="357" t="s">
        <v>70</v>
      </c>
      <c r="B6" s="1010"/>
      <c r="C6" s="1345"/>
      <c r="D6" s="1346" t="s">
        <v>1959</v>
      </c>
      <c r="E6" s="1346" t="s">
        <v>1960</v>
      </c>
      <c r="F6" s="1346" t="s">
        <v>1961</v>
      </c>
      <c r="G6" s="1348"/>
      <c r="H6" s="1008"/>
      <c r="I6" s="1005"/>
      <c r="J6" s="367"/>
      <c r="K6" s="367"/>
    </row>
    <row r="7" spans="1:13" ht="11.25" customHeight="1" x14ac:dyDescent="0.25">
      <c r="A7" s="357" t="s">
        <v>71</v>
      </c>
      <c r="B7" s="1010"/>
      <c r="C7" s="1345"/>
      <c r="D7" s="1346" t="s">
        <v>1962</v>
      </c>
      <c r="E7" s="1346" t="s">
        <v>1963</v>
      </c>
      <c r="F7" s="1346" t="s">
        <v>1964</v>
      </c>
      <c r="G7" s="1348"/>
      <c r="H7" s="1008"/>
      <c r="I7" s="1005"/>
      <c r="J7" s="367"/>
      <c r="K7" s="367"/>
    </row>
    <row r="8" spans="1:13" ht="11.25" customHeight="1" x14ac:dyDescent="0.25">
      <c r="A8" s="357" t="s">
        <v>72</v>
      </c>
      <c r="B8" s="1010"/>
      <c r="C8" s="1345"/>
      <c r="D8" s="1346" t="s">
        <v>1965</v>
      </c>
      <c r="E8" s="1346" t="s">
        <v>1966</v>
      </c>
      <c r="F8" s="1346" t="s">
        <v>1967</v>
      </c>
      <c r="G8" s="1348"/>
      <c r="H8" s="1008"/>
      <c r="I8" s="1005"/>
      <c r="J8" s="367"/>
      <c r="K8" s="367"/>
    </row>
    <row r="9" spans="1:13" ht="11.25" customHeight="1" x14ac:dyDescent="0.25">
      <c r="A9" s="357" t="s">
        <v>73</v>
      </c>
      <c r="B9" s="1010"/>
      <c r="C9" s="1345"/>
      <c r="D9" s="1346" t="s">
        <v>1968</v>
      </c>
      <c r="E9" s="1346" t="s">
        <v>1969</v>
      </c>
      <c r="F9" s="1346" t="s">
        <v>1970</v>
      </c>
      <c r="G9" s="1348"/>
      <c r="H9" s="1008"/>
      <c r="I9" s="1005"/>
      <c r="J9" s="367"/>
      <c r="K9" s="367"/>
    </row>
    <row r="10" spans="1:13" ht="11.25" customHeight="1" x14ac:dyDescent="0.25">
      <c r="A10" s="358" t="s">
        <v>74</v>
      </c>
      <c r="B10" s="1011"/>
      <c r="C10" s="1349"/>
      <c r="D10" s="1350" t="s">
        <v>1971</v>
      </c>
      <c r="E10" s="1350" t="s">
        <v>1972</v>
      </c>
      <c r="F10" s="1350" t="s">
        <v>1973</v>
      </c>
      <c r="G10" s="1351"/>
      <c r="H10" s="1050"/>
      <c r="I10" s="1049"/>
      <c r="J10" s="1047"/>
      <c r="K10" s="1047"/>
    </row>
    <row r="11" spans="1:13" ht="4.9000000000000004" customHeight="1" x14ac:dyDescent="0.25">
      <c r="A11" s="357"/>
      <c r="B11" s="1012"/>
      <c r="C11" s="359"/>
      <c r="D11" s="360"/>
      <c r="E11" s="360"/>
      <c r="F11" s="361"/>
      <c r="G11" s="361"/>
      <c r="H11" s="362"/>
      <c r="I11" s="363"/>
      <c r="J11" s="361"/>
      <c r="K11" s="364"/>
    </row>
    <row r="12" spans="1:13" ht="11.25" customHeight="1" x14ac:dyDescent="0.25">
      <c r="A12" s="365" t="s">
        <v>1382</v>
      </c>
      <c r="B12" s="1012" t="s">
        <v>1368</v>
      </c>
      <c r="C12" s="359"/>
      <c r="D12" s="360"/>
      <c r="E12" s="360"/>
      <c r="F12" s="361"/>
      <c r="G12" s="361"/>
      <c r="H12" s="362"/>
      <c r="I12" s="363"/>
      <c r="J12" s="361"/>
      <c r="K12" s="364"/>
    </row>
    <row r="13" spans="1:13" ht="11.25" customHeight="1" x14ac:dyDescent="0.25">
      <c r="A13" s="357" t="s">
        <v>82</v>
      </c>
      <c r="B13" s="1010"/>
      <c r="C13" s="366" t="s">
        <v>1974</v>
      </c>
      <c r="D13" s="367">
        <v>27624</v>
      </c>
      <c r="E13" s="367">
        <v>4193</v>
      </c>
      <c r="F13" s="368">
        <v>14571</v>
      </c>
      <c r="G13" s="368"/>
      <c r="H13" s="369"/>
      <c r="I13" s="370"/>
      <c r="J13" s="368"/>
      <c r="K13" s="371"/>
    </row>
    <row r="14" spans="1:13" ht="11.25" customHeight="1" x14ac:dyDescent="0.25">
      <c r="A14" s="1001" t="s">
        <v>1350</v>
      </c>
      <c r="B14" s="1010"/>
      <c r="C14" s="366" t="s">
        <v>1975</v>
      </c>
      <c r="D14" s="367">
        <v>15702</v>
      </c>
      <c r="E14" s="367">
        <v>6776</v>
      </c>
      <c r="F14" s="368">
        <v>7645</v>
      </c>
      <c r="G14" s="368"/>
      <c r="H14" s="369"/>
      <c r="I14" s="370"/>
      <c r="J14" s="368"/>
      <c r="K14" s="371"/>
    </row>
    <row r="15" spans="1:13" ht="11.25" customHeight="1" x14ac:dyDescent="0.25">
      <c r="A15" s="1001" t="s">
        <v>1351</v>
      </c>
      <c r="B15" s="1010"/>
      <c r="C15" s="366" t="s">
        <v>1976</v>
      </c>
      <c r="D15" s="367">
        <v>24734</v>
      </c>
      <c r="E15" s="367">
        <v>13628</v>
      </c>
      <c r="F15" s="368">
        <v>12995</v>
      </c>
      <c r="G15" s="368"/>
      <c r="H15" s="369"/>
      <c r="I15" s="370"/>
      <c r="J15" s="368"/>
      <c r="K15" s="371"/>
    </row>
    <row r="16" spans="1:13" ht="11.25" customHeight="1" x14ac:dyDescent="0.25">
      <c r="A16" s="1001" t="s">
        <v>1352</v>
      </c>
      <c r="B16" s="1010"/>
      <c r="C16" s="366" t="s">
        <v>1977</v>
      </c>
      <c r="D16" s="367">
        <v>14275</v>
      </c>
      <c r="E16" s="367">
        <v>24910</v>
      </c>
      <c r="F16" s="368">
        <v>27200</v>
      </c>
      <c r="G16" s="368"/>
      <c r="H16" s="369"/>
      <c r="I16" s="370"/>
      <c r="J16" s="368"/>
      <c r="K16" s="371"/>
    </row>
    <row r="17" spans="1:11" ht="11.25" customHeight="1" x14ac:dyDescent="0.25">
      <c r="A17" s="1001" t="s">
        <v>1353</v>
      </c>
      <c r="B17" s="1010"/>
      <c r="C17" s="366" t="s">
        <v>1978</v>
      </c>
      <c r="D17" s="367">
        <v>7312</v>
      </c>
      <c r="E17" s="367">
        <v>20860</v>
      </c>
      <c r="F17" s="368">
        <v>23922</v>
      </c>
      <c r="G17" s="368"/>
      <c r="H17" s="369"/>
      <c r="I17" s="370"/>
      <c r="J17" s="368"/>
      <c r="K17" s="371"/>
    </row>
    <row r="18" spans="1:11" ht="11.25" customHeight="1" x14ac:dyDescent="0.25">
      <c r="A18" s="1001" t="s">
        <v>1354</v>
      </c>
      <c r="B18" s="1010"/>
      <c r="C18" s="366" t="s">
        <v>1979</v>
      </c>
      <c r="D18" s="367">
        <v>3801</v>
      </c>
      <c r="E18" s="367">
        <v>8157</v>
      </c>
      <c r="F18" s="368">
        <v>9613</v>
      </c>
      <c r="G18" s="368"/>
      <c r="H18" s="369"/>
      <c r="I18" s="370"/>
      <c r="J18" s="368"/>
      <c r="K18" s="371"/>
    </row>
    <row r="19" spans="1:11" ht="11.25" customHeight="1" x14ac:dyDescent="0.25">
      <c r="A19" s="1001" t="s">
        <v>1355</v>
      </c>
      <c r="B19" s="1010"/>
      <c r="C19" s="366" t="s">
        <v>1980</v>
      </c>
      <c r="D19" s="367">
        <v>2358</v>
      </c>
      <c r="E19" s="367">
        <v>4433</v>
      </c>
      <c r="F19" s="368">
        <v>5474</v>
      </c>
      <c r="G19" s="368"/>
      <c r="H19" s="369"/>
      <c r="I19" s="370"/>
      <c r="J19" s="368"/>
      <c r="K19" s="371"/>
    </row>
    <row r="20" spans="1:11" ht="11.25" customHeight="1" x14ac:dyDescent="0.25">
      <c r="A20" s="1001" t="s">
        <v>1356</v>
      </c>
      <c r="B20" s="1010"/>
      <c r="C20" s="366" t="s">
        <v>1981</v>
      </c>
      <c r="D20" s="367">
        <v>1016</v>
      </c>
      <c r="E20" s="367">
        <v>1906</v>
      </c>
      <c r="F20" s="368">
        <v>4227</v>
      </c>
      <c r="G20" s="368"/>
      <c r="H20" s="369"/>
      <c r="I20" s="370"/>
      <c r="J20" s="368"/>
      <c r="K20" s="371"/>
    </row>
    <row r="21" spans="1:11" ht="11.25" customHeight="1" x14ac:dyDescent="0.25">
      <c r="A21" s="1001" t="s">
        <v>1357</v>
      </c>
      <c r="B21" s="1010"/>
      <c r="C21" s="366" t="s">
        <v>1982</v>
      </c>
      <c r="D21" s="367">
        <v>280</v>
      </c>
      <c r="E21" s="367">
        <v>1095</v>
      </c>
      <c r="F21" s="368">
        <v>2285</v>
      </c>
      <c r="G21" s="368"/>
      <c r="H21" s="369"/>
      <c r="I21" s="370"/>
      <c r="J21" s="368"/>
      <c r="K21" s="371"/>
    </row>
    <row r="22" spans="1:11" ht="11.25" customHeight="1" x14ac:dyDescent="0.25">
      <c r="A22" s="1001" t="s">
        <v>1358</v>
      </c>
      <c r="B22" s="1010"/>
      <c r="C22" s="366" t="s">
        <v>1983</v>
      </c>
      <c r="D22" s="367">
        <v>90</v>
      </c>
      <c r="E22" s="367">
        <v>419</v>
      </c>
      <c r="F22" s="368">
        <v>594</v>
      </c>
      <c r="G22" s="368"/>
      <c r="H22" s="371"/>
      <c r="I22" s="1007"/>
      <c r="J22" s="368"/>
      <c r="K22" s="371"/>
    </row>
    <row r="23" spans="1:11" ht="11.25" customHeight="1" x14ac:dyDescent="0.25">
      <c r="A23" s="1001" t="s">
        <v>1359</v>
      </c>
      <c r="B23" s="1010"/>
      <c r="C23" s="1005" t="s">
        <v>1984</v>
      </c>
      <c r="D23" s="367">
        <v>131</v>
      </c>
      <c r="E23" s="367">
        <v>68</v>
      </c>
      <c r="F23" s="367">
        <v>200</v>
      </c>
      <c r="G23" s="367"/>
      <c r="H23" s="1008"/>
      <c r="I23" s="1005"/>
      <c r="J23" s="367"/>
      <c r="K23" s="1008"/>
    </row>
    <row r="24" spans="1:11" ht="11.25" customHeight="1" x14ac:dyDescent="0.25">
      <c r="A24" s="1001" t="s">
        <v>1360</v>
      </c>
      <c r="B24" s="1010"/>
      <c r="C24" s="1005" t="s">
        <v>1985</v>
      </c>
      <c r="D24" s="367">
        <v>54</v>
      </c>
      <c r="E24" s="367"/>
      <c r="F24" s="367">
        <v>188</v>
      </c>
      <c r="G24" s="367"/>
      <c r="H24" s="1008"/>
      <c r="I24" s="1005"/>
      <c r="J24" s="367"/>
      <c r="K24" s="1008"/>
    </row>
    <row r="25" spans="1:11" ht="6" customHeight="1" x14ac:dyDescent="0.25">
      <c r="A25" s="1001"/>
      <c r="B25" s="1010"/>
      <c r="C25" s="1006"/>
      <c r="D25" s="373"/>
      <c r="E25" s="373"/>
      <c r="F25" s="374"/>
      <c r="G25" s="374"/>
      <c r="H25" s="375"/>
      <c r="I25" s="376"/>
      <c r="J25" s="374"/>
      <c r="K25" s="377"/>
    </row>
    <row r="26" spans="1:11" ht="12.75" customHeight="1" x14ac:dyDescent="0.25">
      <c r="A26" s="1001"/>
      <c r="B26" s="1010"/>
      <c r="C26" s="1006"/>
      <c r="D26" s="373"/>
      <c r="E26" s="373"/>
      <c r="F26" s="374"/>
      <c r="G26" s="374"/>
      <c r="H26" s="375"/>
      <c r="I26" s="376"/>
      <c r="J26" s="374"/>
      <c r="K26" s="377"/>
    </row>
    <row r="27" spans="1:11" ht="11.25" customHeight="1" x14ac:dyDescent="0.25">
      <c r="A27" s="365" t="s">
        <v>1383</v>
      </c>
      <c r="B27" s="1010"/>
      <c r="C27" s="372"/>
      <c r="D27" s="373"/>
      <c r="E27" s="373"/>
      <c r="F27" s="374"/>
      <c r="G27" s="374"/>
      <c r="H27" s="375"/>
      <c r="I27" s="376"/>
      <c r="J27" s="374"/>
      <c r="K27" s="377"/>
    </row>
    <row r="28" spans="1:11" ht="11.25" customHeight="1" x14ac:dyDescent="0.25">
      <c r="A28" s="1001" t="s">
        <v>1362</v>
      </c>
      <c r="B28" s="1010">
        <v>13</v>
      </c>
      <c r="C28" s="378"/>
      <c r="D28" s="379">
        <v>27624</v>
      </c>
      <c r="E28" s="379">
        <v>4193</v>
      </c>
      <c r="F28" s="379">
        <v>14571</v>
      </c>
      <c r="G28" s="379"/>
      <c r="H28" s="1004"/>
      <c r="I28" s="1002"/>
      <c r="J28" s="379"/>
      <c r="K28" s="1004"/>
    </row>
    <row r="29" spans="1:11" ht="11.25" customHeight="1" x14ac:dyDescent="0.25">
      <c r="A29" s="809" t="s">
        <v>83</v>
      </c>
      <c r="B29" s="1013">
        <v>2</v>
      </c>
      <c r="C29" s="378"/>
      <c r="D29" s="379"/>
      <c r="E29" s="379"/>
      <c r="F29" s="380"/>
      <c r="G29" s="380"/>
      <c r="H29" s="381"/>
      <c r="I29" s="1003"/>
      <c r="J29" s="380"/>
      <c r="K29" s="381"/>
    </row>
    <row r="30" spans="1:11" ht="4.9000000000000004" customHeight="1" x14ac:dyDescent="0.25">
      <c r="A30" s="358"/>
      <c r="B30" s="1011"/>
      <c r="C30" s="382"/>
      <c r="D30" s="383"/>
      <c r="E30" s="383"/>
      <c r="F30" s="384"/>
      <c r="G30" s="384"/>
      <c r="H30" s="385"/>
      <c r="I30" s="386"/>
      <c r="J30" s="384"/>
      <c r="K30" s="387"/>
    </row>
    <row r="31" spans="1:11" ht="11.25" customHeight="1" x14ac:dyDescent="0.25">
      <c r="A31" s="365" t="s">
        <v>84</v>
      </c>
      <c r="B31" s="1010"/>
      <c r="C31" s="372"/>
      <c r="D31" s="373"/>
      <c r="E31" s="373"/>
      <c r="F31" s="374"/>
      <c r="G31" s="374"/>
      <c r="H31" s="375"/>
      <c r="I31" s="376"/>
      <c r="J31" s="374"/>
      <c r="K31" s="377"/>
    </row>
    <row r="32" spans="1:11" ht="11.25" customHeight="1" x14ac:dyDescent="0.25">
      <c r="A32" s="809" t="s">
        <v>85</v>
      </c>
      <c r="B32" s="1013"/>
      <c r="C32" s="378"/>
      <c r="D32" s="379" t="s">
        <v>1956</v>
      </c>
      <c r="E32" s="379" t="s">
        <v>1957</v>
      </c>
      <c r="F32" s="109" t="s">
        <v>1958</v>
      </c>
      <c r="G32" s="109"/>
      <c r="H32" s="388"/>
      <c r="I32" s="389"/>
      <c r="J32" s="109"/>
      <c r="K32" s="110"/>
    </row>
    <row r="33" spans="1:11" ht="11.25" customHeight="1" x14ac:dyDescent="0.25">
      <c r="A33" s="809" t="s">
        <v>86</v>
      </c>
      <c r="B33" s="1013"/>
      <c r="C33" s="378"/>
      <c r="D33" s="379"/>
      <c r="E33" s="379"/>
      <c r="F33" s="109"/>
      <c r="G33" s="109"/>
      <c r="H33" s="388"/>
      <c r="I33" s="389"/>
      <c r="J33" s="109"/>
      <c r="K33" s="110"/>
    </row>
    <row r="34" spans="1:11" ht="11.25" customHeight="1" x14ac:dyDescent="0.25">
      <c r="A34" s="809" t="s">
        <v>87</v>
      </c>
      <c r="B34" s="1013"/>
      <c r="C34" s="378"/>
      <c r="D34" s="379" t="s">
        <v>1986</v>
      </c>
      <c r="E34" s="379" t="s">
        <v>1987</v>
      </c>
      <c r="F34" s="109" t="s">
        <v>1988</v>
      </c>
      <c r="G34" s="109"/>
      <c r="H34" s="388"/>
      <c r="I34" s="389"/>
      <c r="J34" s="109"/>
      <c r="K34" s="110"/>
    </row>
    <row r="35" spans="1:11" ht="11.25" customHeight="1" x14ac:dyDescent="0.25">
      <c r="A35" s="809" t="s">
        <v>88</v>
      </c>
      <c r="B35" s="1013"/>
      <c r="C35" s="378"/>
      <c r="D35" s="379"/>
      <c r="E35" s="379"/>
      <c r="F35" s="109"/>
      <c r="G35" s="109"/>
      <c r="H35" s="388"/>
      <c r="I35" s="389"/>
      <c r="J35" s="109"/>
      <c r="K35" s="110"/>
    </row>
    <row r="36" spans="1:11" ht="11.25" customHeight="1" x14ac:dyDescent="0.25">
      <c r="A36" s="809" t="s">
        <v>89</v>
      </c>
      <c r="B36" s="1014"/>
      <c r="C36" s="390"/>
      <c r="D36" s="391"/>
      <c r="E36" s="391"/>
      <c r="F36" s="392"/>
      <c r="G36" s="392"/>
      <c r="H36" s="393"/>
      <c r="I36" s="394"/>
      <c r="J36" s="392"/>
      <c r="K36" s="395"/>
    </row>
    <row r="37" spans="1:11" ht="4.9000000000000004" customHeight="1" x14ac:dyDescent="0.25">
      <c r="A37" s="365"/>
      <c r="B37" s="1010"/>
      <c r="C37" s="372"/>
      <c r="D37" s="373"/>
      <c r="E37" s="373"/>
      <c r="F37" s="374"/>
      <c r="G37" s="374"/>
      <c r="H37" s="375"/>
      <c r="I37" s="376"/>
      <c r="J37" s="374"/>
      <c r="K37" s="377"/>
    </row>
    <row r="38" spans="1:11" ht="11.25" customHeight="1" x14ac:dyDescent="0.25">
      <c r="A38" s="365" t="s">
        <v>1363</v>
      </c>
      <c r="B38" s="1010">
        <v>3</v>
      </c>
      <c r="C38" s="372"/>
      <c r="D38" s="373"/>
      <c r="E38" s="373"/>
      <c r="F38" s="374"/>
      <c r="G38" s="374"/>
      <c r="H38" s="375"/>
      <c r="I38" s="376"/>
      <c r="J38" s="374"/>
      <c r="K38" s="377"/>
    </row>
    <row r="39" spans="1:11" ht="11.25" customHeight="1" x14ac:dyDescent="0.25">
      <c r="A39" s="809" t="s">
        <v>90</v>
      </c>
      <c r="B39" s="1013"/>
      <c r="C39" s="378"/>
      <c r="D39" s="379">
        <v>59183</v>
      </c>
      <c r="E39" s="379">
        <v>78737</v>
      </c>
      <c r="F39" s="396">
        <v>98021</v>
      </c>
      <c r="G39" s="396"/>
      <c r="H39" s="397"/>
      <c r="I39" s="398"/>
      <c r="J39" s="396"/>
      <c r="K39" s="399"/>
    </row>
    <row r="40" spans="1:11" ht="11.25" customHeight="1" x14ac:dyDescent="0.25">
      <c r="A40" s="809" t="s">
        <v>91</v>
      </c>
      <c r="B40" s="1013"/>
      <c r="C40" s="390"/>
      <c r="D40" s="391">
        <v>3470</v>
      </c>
      <c r="E40" s="391">
        <v>2643</v>
      </c>
      <c r="F40" s="400">
        <v>2756</v>
      </c>
      <c r="G40" s="400"/>
      <c r="H40" s="401"/>
      <c r="I40" s="402"/>
      <c r="J40" s="400"/>
      <c r="K40" s="403"/>
    </row>
    <row r="41" spans="1:11" ht="11.25" customHeight="1" x14ac:dyDescent="0.25">
      <c r="A41" s="404" t="s">
        <v>1069</v>
      </c>
      <c r="B41" s="1010"/>
      <c r="C41" s="359">
        <f t="shared" ref="C41:K41" si="1">SUM(C39:C40)</f>
        <v>0</v>
      </c>
      <c r="D41" s="360">
        <f t="shared" si="1"/>
        <v>62653</v>
      </c>
      <c r="E41" s="360">
        <f t="shared" si="1"/>
        <v>81380</v>
      </c>
      <c r="F41" s="405">
        <f t="shared" si="1"/>
        <v>100777</v>
      </c>
      <c r="G41" s="405">
        <f t="shared" si="1"/>
        <v>0</v>
      </c>
      <c r="H41" s="406">
        <f t="shared" si="1"/>
        <v>0</v>
      </c>
      <c r="I41" s="407">
        <f t="shared" si="1"/>
        <v>0</v>
      </c>
      <c r="J41" s="405">
        <f t="shared" si="1"/>
        <v>0</v>
      </c>
      <c r="K41" s="408">
        <f t="shared" si="1"/>
        <v>0</v>
      </c>
    </row>
    <row r="42" spans="1:11" ht="11.25" customHeight="1" x14ac:dyDescent="0.25">
      <c r="A42" s="809" t="s">
        <v>1364</v>
      </c>
      <c r="B42" s="1013">
        <v>4</v>
      </c>
      <c r="C42" s="378"/>
      <c r="D42" s="379"/>
      <c r="E42" s="379"/>
      <c r="F42" s="396"/>
      <c r="G42" s="396"/>
      <c r="H42" s="397"/>
      <c r="I42" s="398"/>
      <c r="J42" s="396"/>
      <c r="K42" s="399"/>
    </row>
    <row r="43" spans="1:11" ht="11.25" customHeight="1" x14ac:dyDescent="0.25">
      <c r="A43" s="809" t="s">
        <v>92</v>
      </c>
      <c r="B43" s="1013"/>
      <c r="C43" s="378"/>
      <c r="D43" s="379"/>
      <c r="E43" s="379"/>
      <c r="F43" s="396"/>
      <c r="G43" s="396"/>
      <c r="H43" s="397"/>
      <c r="I43" s="398"/>
      <c r="J43" s="396"/>
      <c r="K43" s="399"/>
    </row>
    <row r="44" spans="1:11" ht="11.25" customHeight="1" x14ac:dyDescent="0.25">
      <c r="A44" s="809" t="s">
        <v>1365</v>
      </c>
      <c r="B44" s="1013">
        <v>5</v>
      </c>
      <c r="C44" s="378"/>
      <c r="D44" s="379"/>
      <c r="E44" s="379"/>
      <c r="F44" s="396"/>
      <c r="G44" s="396"/>
      <c r="H44" s="397"/>
      <c r="I44" s="398"/>
      <c r="J44" s="396"/>
      <c r="K44" s="399"/>
    </row>
    <row r="45" spans="1:11" ht="11.25" customHeight="1" x14ac:dyDescent="0.25">
      <c r="A45" s="409" t="s">
        <v>93</v>
      </c>
      <c r="B45" s="1011"/>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1010"/>
      <c r="C46" s="359"/>
      <c r="D46" s="360"/>
      <c r="E46" s="360"/>
      <c r="F46" s="417"/>
      <c r="G46" s="417"/>
      <c r="H46" s="418"/>
      <c r="I46" s="419"/>
      <c r="J46" s="417"/>
      <c r="K46" s="420"/>
    </row>
    <row r="47" spans="1:11" ht="11.25" customHeight="1" x14ac:dyDescent="0.25">
      <c r="A47" s="421" t="s">
        <v>1366</v>
      </c>
      <c r="B47" s="1010">
        <v>6</v>
      </c>
      <c r="C47" s="422"/>
      <c r="D47" s="423"/>
      <c r="E47" s="423"/>
      <c r="F47" s="424"/>
      <c r="G47" s="424"/>
      <c r="H47" s="425"/>
      <c r="I47" s="426"/>
      <c r="J47" s="427"/>
      <c r="K47" s="428"/>
    </row>
    <row r="48" spans="1:11" ht="11.25" customHeight="1" x14ac:dyDescent="0.25">
      <c r="A48" s="416" t="s">
        <v>94</v>
      </c>
      <c r="B48" s="1013"/>
      <c r="C48" s="429"/>
      <c r="D48" s="430"/>
      <c r="E48" s="430"/>
      <c r="F48" s="431"/>
      <c r="G48" s="431">
        <v>5.8000000000000003E-2</v>
      </c>
      <c r="H48" s="432">
        <v>6.6000000000000003E-2</v>
      </c>
      <c r="I48" s="433">
        <v>6.4000000000000001E-2</v>
      </c>
      <c r="J48" s="431">
        <v>5.2999999999999999E-2</v>
      </c>
      <c r="K48" s="434">
        <v>5.3999999999999999E-2</v>
      </c>
    </row>
    <row r="49" spans="1:13" ht="11.25" customHeight="1" x14ac:dyDescent="0.25">
      <c r="A49" s="416" t="s">
        <v>95</v>
      </c>
      <c r="B49" s="1013"/>
      <c r="C49" s="429"/>
      <c r="D49" s="430"/>
      <c r="E49" s="430"/>
      <c r="F49" s="431"/>
      <c r="G49" s="431">
        <v>6.7500000000000004E-2</v>
      </c>
      <c r="H49" s="432">
        <v>6.7500000000000004E-2</v>
      </c>
      <c r="I49" s="433">
        <v>6.7500000000000004E-2</v>
      </c>
      <c r="J49" s="431">
        <v>6.7500000000000004E-2</v>
      </c>
      <c r="K49" s="434">
        <v>6.7500000000000004E-2</v>
      </c>
    </row>
    <row r="50" spans="1:13" ht="11.25" customHeight="1" x14ac:dyDescent="0.25">
      <c r="A50" s="416" t="s">
        <v>96</v>
      </c>
      <c r="B50" s="1013"/>
      <c r="C50" s="435"/>
      <c r="D50" s="436"/>
      <c r="E50" s="436"/>
      <c r="F50" s="431"/>
      <c r="G50" s="431" t="s">
        <v>1989</v>
      </c>
      <c r="H50" s="432" t="s">
        <v>1989</v>
      </c>
      <c r="I50" s="433" t="s">
        <v>1989</v>
      </c>
      <c r="J50" s="431" t="s">
        <v>1989</v>
      </c>
      <c r="K50" s="434" t="s">
        <v>1989</v>
      </c>
    </row>
    <row r="51" spans="1:13" ht="11.25" customHeight="1" x14ac:dyDescent="0.25">
      <c r="A51" s="416" t="s">
        <v>97</v>
      </c>
      <c r="B51" s="1013"/>
      <c r="C51" s="429"/>
      <c r="D51" s="430"/>
      <c r="E51" s="430"/>
      <c r="F51" s="437"/>
      <c r="G51" s="437">
        <v>5.8000000000000003E-2</v>
      </c>
      <c r="H51" s="438">
        <v>7.5999999999999998E-2</v>
      </c>
      <c r="I51" s="439">
        <v>7.3999999999999996E-2</v>
      </c>
      <c r="J51" s="437">
        <v>7.0000000000000007E-2</v>
      </c>
      <c r="K51" s="440">
        <v>5.3999999999999999E-2</v>
      </c>
    </row>
    <row r="52" spans="1:13" ht="11.25" customHeight="1" x14ac:dyDescent="0.25">
      <c r="A52" s="416" t="s">
        <v>98</v>
      </c>
      <c r="B52" s="1013"/>
      <c r="C52" s="429"/>
      <c r="D52" s="430"/>
      <c r="E52" s="430"/>
      <c r="F52" s="437"/>
      <c r="G52" s="437">
        <v>0.122</v>
      </c>
      <c r="H52" s="438">
        <v>8.6400000000000005E-2</v>
      </c>
      <c r="I52" s="439">
        <v>1.8800000000000001E-2</v>
      </c>
      <c r="J52" s="437">
        <v>6.8400000000000002E-2</v>
      </c>
      <c r="K52" s="440">
        <v>5.3999999999999999E-2</v>
      </c>
    </row>
    <row r="53" spans="1:13" ht="11.25" customHeight="1" x14ac:dyDescent="0.25">
      <c r="A53" s="416" t="s">
        <v>99</v>
      </c>
      <c r="B53" s="1013"/>
      <c r="C53" s="429"/>
      <c r="D53" s="430"/>
      <c r="E53" s="430"/>
      <c r="F53" s="437"/>
      <c r="G53" s="437">
        <v>0.06</v>
      </c>
      <c r="H53" s="438">
        <v>6.6000000000000003E-2</v>
      </c>
      <c r="I53" s="439">
        <v>6.4000000000000001E-2</v>
      </c>
      <c r="J53" s="437">
        <v>5.2999999999999999E-2</v>
      </c>
      <c r="K53" s="440">
        <v>5.3999999999999999E-2</v>
      </c>
    </row>
    <row r="54" spans="1:13" ht="13.5" customHeight="1" x14ac:dyDescent="0.25">
      <c r="A54" s="441"/>
      <c r="B54" s="1010"/>
      <c r="C54" s="359"/>
      <c r="D54" s="360"/>
      <c r="E54" s="360"/>
      <c r="F54" s="424"/>
      <c r="G54" s="424"/>
      <c r="H54" s="442"/>
      <c r="I54" s="443"/>
      <c r="J54" s="424"/>
      <c r="K54" s="444"/>
    </row>
    <row r="55" spans="1:13" ht="13.5" customHeight="1" x14ac:dyDescent="0.25">
      <c r="A55" s="421" t="s">
        <v>1367</v>
      </c>
      <c r="B55" s="1010">
        <v>7</v>
      </c>
      <c r="C55" s="359"/>
      <c r="D55" s="360"/>
      <c r="E55" s="360"/>
      <c r="F55" s="424"/>
      <c r="G55" s="424"/>
      <c r="H55" s="442"/>
      <c r="I55" s="443"/>
      <c r="J55" s="424"/>
      <c r="K55" s="444"/>
    </row>
    <row r="56" spans="1:13" ht="11.25" customHeight="1" x14ac:dyDescent="0.25">
      <c r="A56" s="416" t="s">
        <v>100</v>
      </c>
      <c r="B56" s="1013"/>
      <c r="C56" s="429"/>
      <c r="D56" s="430"/>
      <c r="E56" s="430"/>
      <c r="F56" s="431" t="s">
        <v>101</v>
      </c>
      <c r="G56" s="431" t="s">
        <v>101</v>
      </c>
      <c r="H56" s="432" t="s">
        <v>101</v>
      </c>
      <c r="I56" s="433" t="s">
        <v>101</v>
      </c>
      <c r="J56" s="431" t="s">
        <v>101</v>
      </c>
      <c r="K56" s="434" t="s">
        <v>101</v>
      </c>
    </row>
    <row r="57" spans="1:13" ht="11.25" customHeight="1" x14ac:dyDescent="0.25">
      <c r="A57" s="416" t="s">
        <v>102</v>
      </c>
      <c r="B57" s="1013"/>
      <c r="C57" s="429"/>
      <c r="D57" s="430"/>
      <c r="E57" s="430"/>
      <c r="F57" s="431" t="s">
        <v>101</v>
      </c>
      <c r="G57" s="431" t="s">
        <v>101</v>
      </c>
      <c r="H57" s="432" t="s">
        <v>101</v>
      </c>
      <c r="I57" s="433" t="s">
        <v>101</v>
      </c>
      <c r="J57" s="431" t="s">
        <v>101</v>
      </c>
      <c r="K57" s="434" t="s">
        <v>101</v>
      </c>
    </row>
    <row r="58" spans="1:13" ht="11.25" customHeight="1" x14ac:dyDescent="0.25">
      <c r="A58" s="416" t="s">
        <v>103</v>
      </c>
      <c r="B58" s="1013"/>
      <c r="C58" s="429"/>
      <c r="D58" s="430"/>
      <c r="E58" s="430"/>
      <c r="F58" s="431" t="s">
        <v>101</v>
      </c>
      <c r="G58" s="431" t="s">
        <v>101</v>
      </c>
      <c r="H58" s="432" t="s">
        <v>101</v>
      </c>
      <c r="I58" s="433" t="s">
        <v>101</v>
      </c>
      <c r="J58" s="431" t="s">
        <v>101</v>
      </c>
      <c r="K58" s="434" t="s">
        <v>101</v>
      </c>
    </row>
    <row r="59" spans="1:13" ht="11.25" customHeight="1" x14ac:dyDescent="0.25">
      <c r="A59" s="416" t="s">
        <v>104</v>
      </c>
      <c r="B59" s="1013"/>
      <c r="C59" s="429"/>
      <c r="D59" s="430"/>
      <c r="E59" s="430"/>
      <c r="F59" s="431" t="s">
        <v>101</v>
      </c>
      <c r="G59" s="431" t="s">
        <v>101</v>
      </c>
      <c r="H59" s="432" t="s">
        <v>101</v>
      </c>
      <c r="I59" s="433" t="s">
        <v>101</v>
      </c>
      <c r="J59" s="431" t="s">
        <v>101</v>
      </c>
      <c r="K59" s="434" t="s">
        <v>101</v>
      </c>
    </row>
    <row r="60" spans="1:13" ht="11.25" customHeight="1" x14ac:dyDescent="0.25">
      <c r="A60" s="416" t="s">
        <v>105</v>
      </c>
      <c r="B60" s="1013"/>
      <c r="C60" s="429"/>
      <c r="D60" s="430"/>
      <c r="E60" s="430"/>
      <c r="F60" s="431" t="s">
        <v>101</v>
      </c>
      <c r="G60" s="431" t="s">
        <v>101</v>
      </c>
      <c r="H60" s="432" t="s">
        <v>101</v>
      </c>
      <c r="I60" s="433" t="s">
        <v>101</v>
      </c>
      <c r="J60" s="431" t="s">
        <v>101</v>
      </c>
      <c r="K60" s="434" t="s">
        <v>101</v>
      </c>
    </row>
    <row r="61" spans="1:13" ht="4.9000000000000004" customHeight="1" x14ac:dyDescent="0.25">
      <c r="A61" s="445"/>
      <c r="B61" s="1015"/>
      <c r="C61" s="446"/>
      <c r="D61" s="447"/>
      <c r="E61" s="447"/>
      <c r="F61" s="448"/>
      <c r="G61" s="448"/>
      <c r="H61" s="449"/>
      <c r="I61" s="450"/>
      <c r="J61" s="451"/>
      <c r="K61" s="452"/>
    </row>
    <row r="62" spans="1:13" s="1107" customFormat="1" ht="18.75" customHeight="1" x14ac:dyDescent="0.3">
      <c r="A62" s="1106" t="s">
        <v>1476</v>
      </c>
      <c r="B62" s="58"/>
      <c r="C62" s="5"/>
      <c r="D62" s="5"/>
      <c r="E62" s="5"/>
      <c r="F62" s="5"/>
      <c r="G62" s="84"/>
      <c r="H62" s="84"/>
      <c r="I62" s="84"/>
      <c r="J62" s="84"/>
      <c r="K62" s="84"/>
      <c r="L62" s="84"/>
      <c r="M62" s="84"/>
    </row>
    <row r="63" spans="1:13" s="1107" customFormat="1" ht="25.15" customHeight="1" x14ac:dyDescent="0.25">
      <c r="A63" s="1433" t="s">
        <v>1465</v>
      </c>
      <c r="B63" s="1108"/>
      <c r="C63" s="1109"/>
      <c r="D63" s="1110"/>
      <c r="E63" s="1111" t="str">
        <f>Head1B</f>
        <v>2015/16</v>
      </c>
      <c r="F63" s="1112" t="str">
        <f>Head1A</f>
        <v>2016/17</v>
      </c>
      <c r="G63" s="1113" t="str">
        <f>Head1</f>
        <v>2017/18</v>
      </c>
      <c r="H63" s="1416" t="str">
        <f>Head2</f>
        <v>Budget Year 2018/19</v>
      </c>
      <c r="I63" s="1417"/>
      <c r="J63" s="1434"/>
      <c r="K63" s="1416" t="str">
        <f>Head3</f>
        <v>2018/19 Medium Term Revenue &amp; Expenditure Framework</v>
      </c>
      <c r="L63" s="1417"/>
      <c r="M63" s="1434"/>
    </row>
    <row r="64" spans="1:13" s="1107" customFormat="1" ht="25.15" customHeight="1" x14ac:dyDescent="0.25">
      <c r="A64" s="1433"/>
      <c r="B64" s="1114" t="s">
        <v>1361</v>
      </c>
      <c r="C64" s="1115"/>
      <c r="D64" s="1116"/>
      <c r="E64" s="1117" t="str">
        <f>Head5A</f>
        <v>Outcome</v>
      </c>
      <c r="F64" s="1118" t="str">
        <f>Head5A</f>
        <v>Outcome</v>
      </c>
      <c r="G64" s="1119" t="str">
        <f>Head5A</f>
        <v>Outcome</v>
      </c>
      <c r="H64" s="1120" t="str">
        <f>Head6</f>
        <v>Original Budget</v>
      </c>
      <c r="I64" s="1118" t="str">
        <f>Head7</f>
        <v>Adjusted Budget</v>
      </c>
      <c r="J64" s="1119" t="str">
        <f>Head8</f>
        <v>Full Year Forecast</v>
      </c>
      <c r="K64" s="1120" t="str">
        <f>Head9</f>
        <v>Budget Year 2018/19</v>
      </c>
      <c r="L64" s="1118" t="str">
        <f>Head10</f>
        <v>Budget Year +1 2019/20</v>
      </c>
      <c r="M64" s="1119" t="str">
        <f>Head11</f>
        <v>Budget Year +2 2020/21</v>
      </c>
    </row>
    <row r="65" spans="1:13" s="1107" customFormat="1" ht="11.25" customHeight="1" x14ac:dyDescent="0.25">
      <c r="A65" s="5"/>
      <c r="B65" s="137"/>
      <c r="C65" s="1121" t="s">
        <v>1466</v>
      </c>
      <c r="D65" s="1122"/>
      <c r="E65" s="1123"/>
      <c r="F65" s="1124"/>
      <c r="G65" s="1125"/>
      <c r="H65" s="1126"/>
      <c r="I65" s="1127"/>
      <c r="J65" s="1128"/>
      <c r="K65" s="1129"/>
      <c r="L65" s="1127"/>
      <c r="M65" s="1130"/>
    </row>
    <row r="66" spans="1:13" s="1107" customFormat="1" ht="11.25" customHeight="1" x14ac:dyDescent="0.25">
      <c r="A66" s="5"/>
      <c r="B66" s="137"/>
      <c r="C66" s="1131" t="s">
        <v>600</v>
      </c>
      <c r="D66" s="1132"/>
      <c r="E66" s="715"/>
      <c r="F66" s="257"/>
      <c r="G66" s="1133"/>
      <c r="H66" s="1134"/>
      <c r="I66" s="132"/>
      <c r="J66" s="896"/>
      <c r="K66" s="1135"/>
      <c r="L66" s="132"/>
      <c r="M66" s="1136"/>
    </row>
    <row r="67" spans="1:13" s="5" customFormat="1" ht="11.25" customHeight="1" x14ac:dyDescent="0.25">
      <c r="B67" s="137"/>
      <c r="C67" s="1137" t="s">
        <v>1061</v>
      </c>
      <c r="D67" s="1132"/>
      <c r="E67" s="1138">
        <v>17611</v>
      </c>
      <c r="F67" s="1139">
        <v>17723</v>
      </c>
      <c r="G67" s="1140"/>
      <c r="H67" s="1141">
        <v>17793</v>
      </c>
      <c r="I67" s="1139">
        <v>17793</v>
      </c>
      <c r="J67" s="1142">
        <v>17793</v>
      </c>
      <c r="K67" s="1138">
        <v>17793</v>
      </c>
      <c r="L67" s="1139">
        <v>17793</v>
      </c>
      <c r="M67" s="1140">
        <v>17793</v>
      </c>
    </row>
    <row r="68" spans="1:13" s="5" customFormat="1" ht="11.25" customHeight="1" x14ac:dyDescent="0.25">
      <c r="B68" s="137"/>
      <c r="C68" s="1137" t="s">
        <v>1062</v>
      </c>
      <c r="D68" s="1132"/>
      <c r="E68" s="1138">
        <v>17611</v>
      </c>
      <c r="F68" s="1139">
        <v>24969</v>
      </c>
      <c r="G68" s="1140"/>
      <c r="H68" s="1141">
        <v>34755</v>
      </c>
      <c r="I68" s="1139">
        <v>34755</v>
      </c>
      <c r="J68" s="1142">
        <v>34755</v>
      </c>
      <c r="K68" s="1138">
        <v>34755</v>
      </c>
      <c r="L68" s="1139">
        <v>34755</v>
      </c>
      <c r="M68" s="1140">
        <v>34755</v>
      </c>
    </row>
    <row r="69" spans="1:13" s="5" customFormat="1" ht="11.25" customHeight="1" x14ac:dyDescent="0.25">
      <c r="B69" s="1143">
        <v>8</v>
      </c>
      <c r="C69" s="1137" t="s">
        <v>1063</v>
      </c>
      <c r="D69" s="1132"/>
      <c r="E69" s="1138">
        <v>17515</v>
      </c>
      <c r="F69" s="1139">
        <v>17540</v>
      </c>
      <c r="G69" s="1140"/>
      <c r="H69" s="1141">
        <v>17540</v>
      </c>
      <c r="I69" s="1139">
        <v>17540</v>
      </c>
      <c r="J69" s="1142">
        <v>17540</v>
      </c>
      <c r="K69" s="1138">
        <v>17540</v>
      </c>
      <c r="L69" s="1139">
        <v>17540</v>
      </c>
      <c r="M69" s="1140">
        <v>17540</v>
      </c>
    </row>
    <row r="70" spans="1:13" s="5" customFormat="1" ht="11.25" customHeight="1" x14ac:dyDescent="0.25">
      <c r="B70" s="1143">
        <v>10</v>
      </c>
      <c r="C70" s="1137" t="s">
        <v>1064</v>
      </c>
      <c r="D70" s="1132"/>
      <c r="E70" s="1138">
        <v>32678</v>
      </c>
      <c r="F70" s="1139">
        <v>25183</v>
      </c>
      <c r="G70" s="1140"/>
      <c r="H70" s="1141">
        <v>25183</v>
      </c>
      <c r="I70" s="1139">
        <v>25183</v>
      </c>
      <c r="J70" s="1142">
        <v>25183</v>
      </c>
      <c r="K70" s="1138">
        <v>25183</v>
      </c>
      <c r="L70" s="1139">
        <v>25183</v>
      </c>
      <c r="M70" s="1140">
        <v>25183</v>
      </c>
    </row>
    <row r="71" spans="1:13" s="5" customFormat="1" ht="11.25" customHeight="1" x14ac:dyDescent="0.25">
      <c r="B71" s="1143"/>
      <c r="C71" s="1183" t="s">
        <v>1125</v>
      </c>
      <c r="D71" s="1132"/>
      <c r="E71" s="1144">
        <f>SUM(E67:E70)</f>
        <v>85415</v>
      </c>
      <c r="F71" s="712">
        <f t="shared" ref="F71:M71" si="3">SUM(F67:F70)</f>
        <v>85415</v>
      </c>
      <c r="G71" s="1145">
        <f t="shared" si="3"/>
        <v>0</v>
      </c>
      <c r="H71" s="1146">
        <f t="shared" si="3"/>
        <v>95271</v>
      </c>
      <c r="I71" s="712">
        <f t="shared" si="3"/>
        <v>95271</v>
      </c>
      <c r="J71" s="1147">
        <f t="shared" si="3"/>
        <v>95271</v>
      </c>
      <c r="K71" s="1144">
        <f t="shared" si="3"/>
        <v>95271</v>
      </c>
      <c r="L71" s="712">
        <f t="shared" si="3"/>
        <v>95271</v>
      </c>
      <c r="M71" s="1145">
        <f t="shared" si="3"/>
        <v>95271</v>
      </c>
    </row>
    <row r="72" spans="1:13" s="5" customFormat="1" ht="11.25" customHeight="1" x14ac:dyDescent="0.25">
      <c r="B72" s="1143">
        <v>9</v>
      </c>
      <c r="C72" s="1137" t="s">
        <v>1065</v>
      </c>
      <c r="D72" s="1132"/>
      <c r="E72" s="1138">
        <v>23511</v>
      </c>
      <c r="F72" s="1139">
        <v>23511</v>
      </c>
      <c r="G72" s="1140"/>
      <c r="H72" s="1141">
        <v>23511</v>
      </c>
      <c r="I72" s="1139">
        <v>23511</v>
      </c>
      <c r="J72" s="1142">
        <v>23511</v>
      </c>
      <c r="K72" s="1138">
        <v>23511</v>
      </c>
      <c r="L72" s="1139">
        <v>23511</v>
      </c>
      <c r="M72" s="1140">
        <v>23511</v>
      </c>
    </row>
    <row r="73" spans="1:13" s="5" customFormat="1" ht="11.25" customHeight="1" x14ac:dyDescent="0.25">
      <c r="B73" s="1143">
        <v>10</v>
      </c>
      <c r="C73" s="1137" t="s">
        <v>1066</v>
      </c>
      <c r="D73" s="1132"/>
      <c r="E73" s="1138"/>
      <c r="F73" s="1139"/>
      <c r="G73" s="1140"/>
      <c r="H73" s="1141"/>
      <c r="I73" s="1139"/>
      <c r="J73" s="1142"/>
      <c r="K73" s="1138"/>
      <c r="L73" s="1139"/>
      <c r="M73" s="1140"/>
    </row>
    <row r="74" spans="1:13" s="5" customFormat="1" ht="11.25" customHeight="1" x14ac:dyDescent="0.25">
      <c r="B74" s="137"/>
      <c r="C74" s="1137" t="s">
        <v>1068</v>
      </c>
      <c r="D74" s="1132"/>
      <c r="E74" s="1138"/>
      <c r="F74" s="1139"/>
      <c r="G74" s="1140"/>
      <c r="H74" s="1141"/>
      <c r="I74" s="1139"/>
      <c r="J74" s="1142"/>
      <c r="K74" s="1138"/>
      <c r="L74" s="1139"/>
      <c r="M74" s="1140"/>
    </row>
    <row r="75" spans="1:13" s="5" customFormat="1" ht="11.25" customHeight="1" x14ac:dyDescent="0.25">
      <c r="B75" s="137"/>
      <c r="C75" s="1183" t="s">
        <v>1467</v>
      </c>
      <c r="D75" s="1132"/>
      <c r="E75" s="1148">
        <f>SUM(E72:E74)</f>
        <v>23511</v>
      </c>
      <c r="F75" s="901">
        <f t="shared" ref="F75:M75" si="4">SUM(F72:F74)</f>
        <v>23511</v>
      </c>
      <c r="G75" s="1149">
        <f t="shared" si="4"/>
        <v>0</v>
      </c>
      <c r="H75" s="1150">
        <f t="shared" si="4"/>
        <v>23511</v>
      </c>
      <c r="I75" s="901">
        <f t="shared" si="4"/>
        <v>23511</v>
      </c>
      <c r="J75" s="1151">
        <f t="shared" si="4"/>
        <v>23511</v>
      </c>
      <c r="K75" s="1148">
        <f t="shared" si="4"/>
        <v>23511</v>
      </c>
      <c r="L75" s="901">
        <f t="shared" si="4"/>
        <v>23511</v>
      </c>
      <c r="M75" s="1149">
        <f t="shared" si="4"/>
        <v>23511</v>
      </c>
    </row>
    <row r="76" spans="1:13" s="5" customFormat="1" ht="11.25" customHeight="1" x14ac:dyDescent="0.25">
      <c r="B76" s="137"/>
      <c r="C76" s="1152" t="s">
        <v>1069</v>
      </c>
      <c r="D76" s="1132"/>
      <c r="E76" s="1153">
        <f>E71+E75</f>
        <v>108926</v>
      </c>
      <c r="F76" s="903">
        <f t="shared" ref="F76:M76" si="5">F71+F75</f>
        <v>108926</v>
      </c>
      <c r="G76" s="1154">
        <f t="shared" si="5"/>
        <v>0</v>
      </c>
      <c r="H76" s="1155">
        <f t="shared" si="5"/>
        <v>118782</v>
      </c>
      <c r="I76" s="903">
        <f t="shared" si="5"/>
        <v>118782</v>
      </c>
      <c r="J76" s="1156">
        <f t="shared" si="5"/>
        <v>118782</v>
      </c>
      <c r="K76" s="1153">
        <f t="shared" si="5"/>
        <v>118782</v>
      </c>
      <c r="L76" s="903">
        <f t="shared" si="5"/>
        <v>118782</v>
      </c>
      <c r="M76" s="1154">
        <f t="shared" si="5"/>
        <v>118782</v>
      </c>
    </row>
    <row r="77" spans="1:13" s="5" customFormat="1" ht="11.25" customHeight="1" x14ac:dyDescent="0.25">
      <c r="B77" s="137"/>
      <c r="C77" s="1131" t="s">
        <v>601</v>
      </c>
      <c r="D77" s="1132"/>
      <c r="E77" s="1157"/>
      <c r="F77" s="899"/>
      <c r="G77" s="1158"/>
      <c r="H77" s="1159"/>
      <c r="I77" s="899"/>
      <c r="J77" s="1158"/>
      <c r="K77" s="1157"/>
      <c r="L77" s="899"/>
      <c r="M77" s="1160"/>
    </row>
    <row r="78" spans="1:13" s="5" customFormat="1" ht="11.25" customHeight="1" x14ac:dyDescent="0.25">
      <c r="B78" s="137"/>
      <c r="C78" s="1137" t="s">
        <v>1070</v>
      </c>
      <c r="D78" s="1132"/>
      <c r="E78" s="1138">
        <v>14456</v>
      </c>
      <c r="F78" s="1139">
        <v>14480</v>
      </c>
      <c r="G78" s="1140"/>
      <c r="H78" s="1141">
        <v>14480</v>
      </c>
      <c r="I78" s="1139">
        <v>14480</v>
      </c>
      <c r="J78" s="1142">
        <v>14480</v>
      </c>
      <c r="K78" s="1138">
        <v>14480</v>
      </c>
      <c r="L78" s="1139">
        <v>14480</v>
      </c>
      <c r="M78" s="1140">
        <v>14480</v>
      </c>
    </row>
    <row r="79" spans="1:13" s="5" customFormat="1" ht="11.25" customHeight="1" x14ac:dyDescent="0.25">
      <c r="B79" s="137"/>
      <c r="C79" s="1137" t="s">
        <v>1071</v>
      </c>
      <c r="D79" s="1132"/>
      <c r="E79" s="1138">
        <v>284</v>
      </c>
      <c r="F79" s="1139">
        <v>284</v>
      </c>
      <c r="G79" s="1140"/>
      <c r="H79" s="1141">
        <v>284</v>
      </c>
      <c r="I79" s="1139">
        <v>284</v>
      </c>
      <c r="J79" s="1142">
        <v>284</v>
      </c>
      <c r="K79" s="1138">
        <v>284</v>
      </c>
      <c r="L79" s="1139">
        <v>284</v>
      </c>
      <c r="M79" s="1140">
        <v>284</v>
      </c>
    </row>
    <row r="80" spans="1:13" s="5" customFormat="1" ht="11.25" customHeight="1" x14ac:dyDescent="0.25">
      <c r="B80" s="137"/>
      <c r="C80" s="1137" t="s">
        <v>1072</v>
      </c>
      <c r="D80" s="1132"/>
      <c r="E80" s="1138">
        <v>0</v>
      </c>
      <c r="F80" s="1139">
        <v>0</v>
      </c>
      <c r="G80" s="1140"/>
      <c r="H80" s="1141">
        <v>0</v>
      </c>
      <c r="I80" s="1139">
        <v>0</v>
      </c>
      <c r="J80" s="1142">
        <v>0</v>
      </c>
      <c r="K80" s="1138">
        <v>0</v>
      </c>
      <c r="L80" s="1139">
        <v>0</v>
      </c>
      <c r="M80" s="1140">
        <v>0</v>
      </c>
    </row>
    <row r="81" spans="2:13" s="5" customFormat="1" ht="11.25" customHeight="1" x14ac:dyDescent="0.25">
      <c r="B81" s="137"/>
      <c r="C81" s="1137" t="s">
        <v>298</v>
      </c>
      <c r="D81" s="1132"/>
      <c r="E81" s="1138">
        <v>67104</v>
      </c>
      <c r="F81" s="1139">
        <v>67104</v>
      </c>
      <c r="G81" s="1140"/>
      <c r="H81" s="1141">
        <v>67104</v>
      </c>
      <c r="I81" s="1139">
        <v>67104</v>
      </c>
      <c r="J81" s="1142">
        <v>67104</v>
      </c>
      <c r="K81" s="1138">
        <v>67104</v>
      </c>
      <c r="L81" s="1139">
        <v>67104</v>
      </c>
      <c r="M81" s="1140">
        <v>67104</v>
      </c>
    </row>
    <row r="82" spans="2:13" s="5" customFormat="1" ht="11.25" customHeight="1" x14ac:dyDescent="0.25">
      <c r="B82" s="137"/>
      <c r="C82" s="1137" t="s">
        <v>300</v>
      </c>
      <c r="D82" s="1132"/>
      <c r="E82" s="1138">
        <v>0</v>
      </c>
      <c r="F82" s="1139">
        <v>0</v>
      </c>
      <c r="G82" s="1140"/>
      <c r="H82" s="1141"/>
      <c r="I82" s="1139"/>
      <c r="J82" s="1142"/>
      <c r="K82" s="1138"/>
      <c r="L82" s="1139"/>
      <c r="M82" s="1140"/>
    </row>
    <row r="83" spans="2:13" s="5" customFormat="1" ht="11.25" customHeight="1" x14ac:dyDescent="0.25">
      <c r="B83" s="137"/>
      <c r="C83" s="1183" t="s">
        <v>1125</v>
      </c>
      <c r="D83" s="1132"/>
      <c r="E83" s="1144">
        <f>SUM(E78:E82)</f>
        <v>81844</v>
      </c>
      <c r="F83" s="712">
        <f t="shared" ref="F83:M83" si="6">SUM(F78:F82)</f>
        <v>81868</v>
      </c>
      <c r="G83" s="1145">
        <f t="shared" si="6"/>
        <v>0</v>
      </c>
      <c r="H83" s="1146">
        <f t="shared" si="6"/>
        <v>81868</v>
      </c>
      <c r="I83" s="712">
        <f t="shared" si="6"/>
        <v>81868</v>
      </c>
      <c r="J83" s="1147">
        <f t="shared" si="6"/>
        <v>81868</v>
      </c>
      <c r="K83" s="1144">
        <f t="shared" si="6"/>
        <v>81868</v>
      </c>
      <c r="L83" s="712">
        <f t="shared" si="6"/>
        <v>81868</v>
      </c>
      <c r="M83" s="1145">
        <f t="shared" si="6"/>
        <v>81868</v>
      </c>
    </row>
    <row r="84" spans="2:13" s="5" customFormat="1" ht="11.25" customHeight="1" x14ac:dyDescent="0.25">
      <c r="B84" s="137"/>
      <c r="C84" s="1137" t="s">
        <v>299</v>
      </c>
      <c r="D84" s="1132"/>
      <c r="E84" s="1138"/>
      <c r="F84" s="1139"/>
      <c r="G84" s="1140"/>
      <c r="H84" s="1141"/>
      <c r="I84" s="1139"/>
      <c r="J84" s="1142"/>
      <c r="K84" s="1138"/>
      <c r="L84" s="1139"/>
      <c r="M84" s="1140"/>
    </row>
    <row r="85" spans="2:13" s="5" customFormat="1" ht="11.25" customHeight="1" x14ac:dyDescent="0.25">
      <c r="B85" s="137"/>
      <c r="C85" s="1137" t="s">
        <v>301</v>
      </c>
      <c r="D85" s="1132"/>
      <c r="E85" s="1138"/>
      <c r="F85" s="1139"/>
      <c r="G85" s="1140"/>
      <c r="H85" s="1141"/>
      <c r="I85" s="1139"/>
      <c r="J85" s="1142"/>
      <c r="K85" s="1138"/>
      <c r="L85" s="1139"/>
      <c r="M85" s="1140"/>
    </row>
    <row r="86" spans="2:13" s="5" customFormat="1" ht="11.25" customHeight="1" x14ac:dyDescent="0.25">
      <c r="B86" s="137"/>
      <c r="C86" s="1137" t="s">
        <v>1073</v>
      </c>
      <c r="D86" s="1132"/>
      <c r="E86" s="1138">
        <v>27082</v>
      </c>
      <c r="F86" s="1139">
        <v>27058</v>
      </c>
      <c r="G86" s="1140"/>
      <c r="H86" s="1141">
        <v>27058</v>
      </c>
      <c r="I86" s="1139">
        <v>27058</v>
      </c>
      <c r="J86" s="1142">
        <v>27058</v>
      </c>
      <c r="K86" s="1138">
        <v>27058</v>
      </c>
      <c r="L86" s="1139">
        <v>27058</v>
      </c>
      <c r="M86" s="1140">
        <v>27058</v>
      </c>
    </row>
    <row r="87" spans="2:13" s="5" customFormat="1" ht="11.25" customHeight="1" x14ac:dyDescent="0.25">
      <c r="B87" s="137"/>
      <c r="C87" s="1183" t="s">
        <v>1467</v>
      </c>
      <c r="D87" s="1132"/>
      <c r="E87" s="1148">
        <f>SUM(E84:E86)</f>
        <v>27082</v>
      </c>
      <c r="F87" s="901">
        <f t="shared" ref="F87:M87" si="7">SUM(F84:F86)</f>
        <v>27058</v>
      </c>
      <c r="G87" s="1149">
        <f t="shared" si="7"/>
        <v>0</v>
      </c>
      <c r="H87" s="1150">
        <f t="shared" si="7"/>
        <v>27058</v>
      </c>
      <c r="I87" s="901">
        <f t="shared" si="7"/>
        <v>27058</v>
      </c>
      <c r="J87" s="1151">
        <f t="shared" si="7"/>
        <v>27058</v>
      </c>
      <c r="K87" s="1148">
        <f t="shared" si="7"/>
        <v>27058</v>
      </c>
      <c r="L87" s="901">
        <f t="shared" si="7"/>
        <v>27058</v>
      </c>
      <c r="M87" s="1149">
        <f t="shared" si="7"/>
        <v>27058</v>
      </c>
    </row>
    <row r="88" spans="2:13" s="5" customFormat="1" ht="11.25" customHeight="1" x14ac:dyDescent="0.25">
      <c r="B88" s="137"/>
      <c r="C88" s="1152" t="s">
        <v>1069</v>
      </c>
      <c r="D88" s="1132"/>
      <c r="E88" s="1153">
        <f>E83+E87</f>
        <v>108926</v>
      </c>
      <c r="F88" s="903">
        <f t="shared" ref="F88:M88" si="8">F83+F87</f>
        <v>108926</v>
      </c>
      <c r="G88" s="1154">
        <f t="shared" si="8"/>
        <v>0</v>
      </c>
      <c r="H88" s="1155">
        <f t="shared" si="8"/>
        <v>108926</v>
      </c>
      <c r="I88" s="903">
        <f t="shared" si="8"/>
        <v>108926</v>
      </c>
      <c r="J88" s="1156">
        <f t="shared" si="8"/>
        <v>108926</v>
      </c>
      <c r="K88" s="1153">
        <f t="shared" si="8"/>
        <v>108926</v>
      </c>
      <c r="L88" s="903">
        <f t="shared" si="8"/>
        <v>108926</v>
      </c>
      <c r="M88" s="1154">
        <f t="shared" si="8"/>
        <v>108926</v>
      </c>
    </row>
    <row r="89" spans="2:13" s="5" customFormat="1" ht="11.25" customHeight="1" x14ac:dyDescent="0.25">
      <c r="B89" s="137"/>
      <c r="C89" s="1131" t="s">
        <v>602</v>
      </c>
      <c r="D89" s="1132"/>
      <c r="E89" s="1157"/>
      <c r="F89" s="899"/>
      <c r="G89" s="1158"/>
      <c r="H89" s="1159"/>
      <c r="I89" s="899"/>
      <c r="J89" s="1158"/>
      <c r="K89" s="1157"/>
      <c r="L89" s="899"/>
      <c r="M89" s="1160"/>
    </row>
    <row r="90" spans="2:13" s="5" customFormat="1" ht="11.25" customHeight="1" x14ac:dyDescent="0.25">
      <c r="B90" s="137"/>
      <c r="C90" s="1137" t="s">
        <v>1468</v>
      </c>
      <c r="D90" s="1132"/>
      <c r="E90" s="1138">
        <v>10500</v>
      </c>
      <c r="F90" s="1139">
        <v>12100</v>
      </c>
      <c r="G90" s="1140"/>
      <c r="H90" s="1141">
        <v>13000</v>
      </c>
      <c r="I90" s="1139">
        <v>13000</v>
      </c>
      <c r="J90" s="1142">
        <v>13000</v>
      </c>
      <c r="K90" s="1138">
        <v>13000</v>
      </c>
      <c r="L90" s="1139">
        <v>13200</v>
      </c>
      <c r="M90" s="1140">
        <v>13500</v>
      </c>
    </row>
    <row r="91" spans="2:13" s="5" customFormat="1" ht="11.25" customHeight="1" x14ac:dyDescent="0.25">
      <c r="B91" s="137"/>
      <c r="C91" s="1137" t="s">
        <v>1469</v>
      </c>
      <c r="D91" s="1132"/>
      <c r="E91" s="1138">
        <v>950</v>
      </c>
      <c r="F91" s="1139">
        <v>1010</v>
      </c>
      <c r="G91" s="1140"/>
      <c r="H91" s="1141">
        <v>1350</v>
      </c>
      <c r="I91" s="1139">
        <v>1350</v>
      </c>
      <c r="J91" s="1142">
        <v>1350</v>
      </c>
      <c r="K91" s="1138">
        <v>1350</v>
      </c>
      <c r="L91" s="1139">
        <v>1420</v>
      </c>
      <c r="M91" s="1140">
        <v>1500</v>
      </c>
    </row>
    <row r="92" spans="2:13" s="5" customFormat="1" ht="11.25" customHeight="1" x14ac:dyDescent="0.25">
      <c r="B92" s="137"/>
      <c r="C92" s="1183" t="s">
        <v>1125</v>
      </c>
      <c r="D92" s="1132"/>
      <c r="E92" s="1144">
        <f>SUM(E90:E91)</f>
        <v>11450</v>
      </c>
      <c r="F92" s="712">
        <f t="shared" ref="F92:M92" si="9">SUM(F90:F91)</f>
        <v>13110</v>
      </c>
      <c r="G92" s="1145">
        <f t="shared" si="9"/>
        <v>0</v>
      </c>
      <c r="H92" s="1146">
        <f t="shared" si="9"/>
        <v>14350</v>
      </c>
      <c r="I92" s="712">
        <f t="shared" si="9"/>
        <v>14350</v>
      </c>
      <c r="J92" s="1147">
        <f t="shared" si="9"/>
        <v>14350</v>
      </c>
      <c r="K92" s="1144">
        <f t="shared" si="9"/>
        <v>14350</v>
      </c>
      <c r="L92" s="712">
        <f t="shared" si="9"/>
        <v>14620</v>
      </c>
      <c r="M92" s="1145">
        <f t="shared" si="9"/>
        <v>15000</v>
      </c>
    </row>
    <row r="93" spans="2:13" s="5" customFormat="1" ht="11.25" customHeight="1" x14ac:dyDescent="0.25">
      <c r="B93" s="137"/>
      <c r="C93" s="1137" t="s">
        <v>1074</v>
      </c>
      <c r="D93" s="1132"/>
      <c r="E93" s="1138"/>
      <c r="F93" s="1139"/>
      <c r="G93" s="1140"/>
      <c r="H93" s="1141"/>
      <c r="I93" s="1139"/>
      <c r="J93" s="1142"/>
      <c r="K93" s="1138"/>
      <c r="L93" s="1139"/>
      <c r="M93" s="1140"/>
    </row>
    <row r="94" spans="2:13" s="5" customFormat="1" ht="11.25" customHeight="1" x14ac:dyDescent="0.25">
      <c r="B94" s="137"/>
      <c r="C94" s="1137" t="s">
        <v>1075</v>
      </c>
      <c r="D94" s="1132"/>
      <c r="E94" s="1138"/>
      <c r="F94" s="1139"/>
      <c r="G94" s="1140"/>
      <c r="H94" s="1141"/>
      <c r="I94" s="1139"/>
      <c r="J94" s="1142"/>
      <c r="K94" s="1138"/>
      <c r="L94" s="1139"/>
      <c r="M94" s="1140"/>
    </row>
    <row r="95" spans="2:13" s="5" customFormat="1" ht="11.25" customHeight="1" x14ac:dyDescent="0.25">
      <c r="B95" s="137"/>
      <c r="C95" s="1137" t="s">
        <v>1076</v>
      </c>
      <c r="D95" s="1132"/>
      <c r="E95" s="1138"/>
      <c r="F95" s="1139"/>
      <c r="G95" s="1140"/>
      <c r="H95" s="1141"/>
      <c r="I95" s="1139"/>
      <c r="J95" s="1142"/>
      <c r="K95" s="1138"/>
      <c r="L95" s="1139"/>
      <c r="M95" s="1140"/>
    </row>
    <row r="96" spans="2:13" s="5" customFormat="1" ht="11.25" customHeight="1" x14ac:dyDescent="0.25">
      <c r="B96" s="137"/>
      <c r="C96" s="1183" t="s">
        <v>1467</v>
      </c>
      <c r="D96" s="1132"/>
      <c r="E96" s="1148">
        <f>SUM(E93:E95)</f>
        <v>0</v>
      </c>
      <c r="F96" s="901">
        <f t="shared" ref="F96:M96" si="10">SUM(F93:F95)</f>
        <v>0</v>
      </c>
      <c r="G96" s="1149">
        <f t="shared" si="10"/>
        <v>0</v>
      </c>
      <c r="H96" s="1150">
        <f t="shared" si="10"/>
        <v>0</v>
      </c>
      <c r="I96" s="901">
        <f t="shared" si="10"/>
        <v>0</v>
      </c>
      <c r="J96" s="1151">
        <f t="shared" si="10"/>
        <v>0</v>
      </c>
      <c r="K96" s="1148">
        <f t="shared" si="10"/>
        <v>0</v>
      </c>
      <c r="L96" s="901">
        <f t="shared" si="10"/>
        <v>0</v>
      </c>
      <c r="M96" s="1149">
        <f t="shared" si="10"/>
        <v>0</v>
      </c>
    </row>
    <row r="97" spans="1:13" s="5" customFormat="1" ht="11.25" customHeight="1" x14ac:dyDescent="0.25">
      <c r="B97" s="137"/>
      <c r="C97" s="1152" t="s">
        <v>1069</v>
      </c>
      <c r="D97" s="1132"/>
      <c r="E97" s="1153">
        <f>E92+E96</f>
        <v>11450</v>
      </c>
      <c r="F97" s="903">
        <f t="shared" ref="F97:M97" si="11">F92+F96</f>
        <v>13110</v>
      </c>
      <c r="G97" s="1154">
        <f t="shared" si="11"/>
        <v>0</v>
      </c>
      <c r="H97" s="1155">
        <f t="shared" si="11"/>
        <v>14350</v>
      </c>
      <c r="I97" s="903">
        <f t="shared" si="11"/>
        <v>14350</v>
      </c>
      <c r="J97" s="1156">
        <f t="shared" si="11"/>
        <v>14350</v>
      </c>
      <c r="K97" s="1153">
        <f t="shared" si="11"/>
        <v>14350</v>
      </c>
      <c r="L97" s="903">
        <f t="shared" si="11"/>
        <v>14620</v>
      </c>
      <c r="M97" s="1154">
        <f t="shared" si="11"/>
        <v>15000</v>
      </c>
    </row>
    <row r="98" spans="1:13" s="5" customFormat="1" ht="11.25" customHeight="1" x14ac:dyDescent="0.25">
      <c r="B98" s="137"/>
      <c r="C98" s="1131" t="s">
        <v>603</v>
      </c>
      <c r="D98" s="1132"/>
      <c r="E98" s="1157"/>
      <c r="F98" s="899"/>
      <c r="G98" s="1158"/>
      <c r="H98" s="1159"/>
      <c r="I98" s="899"/>
      <c r="J98" s="1158"/>
      <c r="K98" s="1157"/>
      <c r="L98" s="899"/>
      <c r="M98" s="1160"/>
    </row>
    <row r="99" spans="1:13" s="5" customFormat="1" ht="11.25" customHeight="1" x14ac:dyDescent="0.25">
      <c r="B99" s="137"/>
      <c r="C99" s="1137" t="s">
        <v>1470</v>
      </c>
      <c r="D99" s="1132"/>
      <c r="E99" s="1161">
        <v>8776</v>
      </c>
      <c r="F99" s="1162">
        <v>8776</v>
      </c>
      <c r="G99" s="1163"/>
      <c r="H99" s="1164">
        <v>9059</v>
      </c>
      <c r="I99" s="1162">
        <v>9059</v>
      </c>
      <c r="J99" s="1165">
        <v>9059</v>
      </c>
      <c r="K99" s="1161">
        <v>9059</v>
      </c>
      <c r="L99" s="1162">
        <v>9059</v>
      </c>
      <c r="M99" s="1163">
        <v>9059</v>
      </c>
    </row>
    <row r="100" spans="1:13" s="5" customFormat="1" ht="11.25" customHeight="1" x14ac:dyDescent="0.25">
      <c r="B100" s="137"/>
      <c r="C100" s="1183" t="s">
        <v>1125</v>
      </c>
      <c r="D100" s="1132"/>
      <c r="E100" s="1157">
        <f>SUM(E99)</f>
        <v>8776</v>
      </c>
      <c r="F100" s="899">
        <f t="shared" ref="F100:M100" si="12">SUM(F99)</f>
        <v>8776</v>
      </c>
      <c r="G100" s="1160">
        <f t="shared" si="12"/>
        <v>0</v>
      </c>
      <c r="H100" s="1159">
        <f t="shared" si="12"/>
        <v>9059</v>
      </c>
      <c r="I100" s="899">
        <f t="shared" si="12"/>
        <v>9059</v>
      </c>
      <c r="J100" s="1158">
        <f t="shared" si="12"/>
        <v>9059</v>
      </c>
      <c r="K100" s="1157">
        <f t="shared" si="12"/>
        <v>9059</v>
      </c>
      <c r="L100" s="899">
        <f t="shared" si="12"/>
        <v>9059</v>
      </c>
      <c r="M100" s="1160">
        <f t="shared" si="12"/>
        <v>9059</v>
      </c>
    </row>
    <row r="101" spans="1:13" s="5" customFormat="1" ht="11.25" customHeight="1" x14ac:dyDescent="0.25">
      <c r="B101" s="137"/>
      <c r="C101" s="1137" t="s">
        <v>1078</v>
      </c>
      <c r="D101" s="1132"/>
      <c r="E101" s="1138">
        <v>2400</v>
      </c>
      <c r="F101" s="1139">
        <v>2400</v>
      </c>
      <c r="G101" s="1140"/>
      <c r="H101" s="1141">
        <v>47822</v>
      </c>
      <c r="I101" s="1139">
        <v>47822</v>
      </c>
      <c r="J101" s="1142">
        <v>47822</v>
      </c>
      <c r="K101" s="1138">
        <v>47822</v>
      </c>
      <c r="L101" s="1139">
        <v>47822</v>
      </c>
      <c r="M101" s="1140">
        <v>47822</v>
      </c>
    </row>
    <row r="102" spans="1:13" s="5" customFormat="1" ht="11.25" customHeight="1" x14ac:dyDescent="0.25">
      <c r="B102" s="137"/>
      <c r="C102" s="1137" t="s">
        <v>1079</v>
      </c>
      <c r="D102" s="1132"/>
      <c r="E102" s="1138">
        <v>97794</v>
      </c>
      <c r="F102" s="1139">
        <v>97794</v>
      </c>
      <c r="G102" s="1140"/>
      <c r="H102" s="1141">
        <v>65895</v>
      </c>
      <c r="I102" s="1139">
        <v>65895</v>
      </c>
      <c r="J102" s="1142">
        <v>65895</v>
      </c>
      <c r="K102" s="1138">
        <v>65895</v>
      </c>
      <c r="L102" s="1139">
        <v>69670</v>
      </c>
      <c r="M102" s="1140">
        <v>73574</v>
      </c>
    </row>
    <row r="103" spans="1:13" s="5" customFormat="1" ht="11.25" customHeight="1" x14ac:dyDescent="0.25">
      <c r="B103" s="137"/>
      <c r="C103" s="1137" t="s">
        <v>1080</v>
      </c>
      <c r="D103" s="1132"/>
      <c r="E103" s="1138"/>
      <c r="F103" s="1139"/>
      <c r="G103" s="1140"/>
      <c r="H103" s="1141"/>
      <c r="I103" s="1139"/>
      <c r="J103" s="1142"/>
      <c r="K103" s="1138"/>
      <c r="L103" s="1139"/>
      <c r="M103" s="1140"/>
    </row>
    <row r="104" spans="1:13" s="5" customFormat="1" ht="11.25" customHeight="1" x14ac:dyDescent="0.25">
      <c r="B104" s="137"/>
      <c r="C104" s="1137" t="s">
        <v>1081</v>
      </c>
      <c r="D104" s="1132"/>
      <c r="E104" s="1138"/>
      <c r="F104" s="1139"/>
      <c r="G104" s="1140"/>
      <c r="H104" s="1141"/>
      <c r="I104" s="1139"/>
      <c r="J104" s="1142"/>
      <c r="K104" s="1138"/>
      <c r="L104" s="1139"/>
      <c r="M104" s="1140"/>
    </row>
    <row r="105" spans="1:13" s="5" customFormat="1" ht="11.25" customHeight="1" x14ac:dyDescent="0.25">
      <c r="B105" s="137"/>
      <c r="C105" s="1137" t="s">
        <v>1082</v>
      </c>
      <c r="D105" s="1132"/>
      <c r="E105" s="1138"/>
      <c r="F105" s="1139"/>
      <c r="G105" s="1140"/>
      <c r="H105" s="1141"/>
      <c r="I105" s="1139"/>
      <c r="J105" s="1142"/>
      <c r="K105" s="1138"/>
      <c r="L105" s="1139"/>
      <c r="M105" s="1140"/>
    </row>
    <row r="106" spans="1:13" s="5" customFormat="1" ht="11.25" customHeight="1" x14ac:dyDescent="0.25">
      <c r="B106" s="137"/>
      <c r="C106" s="1183" t="s">
        <v>1467</v>
      </c>
      <c r="D106" s="1132"/>
      <c r="E106" s="1148">
        <f t="shared" ref="E106:M106" si="13">SUM(E101:E105)</f>
        <v>100194</v>
      </c>
      <c r="F106" s="901">
        <f t="shared" si="13"/>
        <v>100194</v>
      </c>
      <c r="G106" s="1149">
        <f t="shared" si="13"/>
        <v>0</v>
      </c>
      <c r="H106" s="1150">
        <f t="shared" si="13"/>
        <v>113717</v>
      </c>
      <c r="I106" s="901">
        <f t="shared" si="13"/>
        <v>113717</v>
      </c>
      <c r="J106" s="1151">
        <f t="shared" si="13"/>
        <v>113717</v>
      </c>
      <c r="K106" s="1148">
        <f t="shared" si="13"/>
        <v>113717</v>
      </c>
      <c r="L106" s="901">
        <f t="shared" si="13"/>
        <v>117492</v>
      </c>
      <c r="M106" s="1149">
        <f t="shared" si="13"/>
        <v>121396</v>
      </c>
    </row>
    <row r="107" spans="1:13" s="5" customFormat="1" ht="11.25" customHeight="1" x14ac:dyDescent="0.25">
      <c r="B107" s="137"/>
      <c r="C107" s="1152" t="s">
        <v>1069</v>
      </c>
      <c r="D107" s="1132"/>
      <c r="E107" s="1153">
        <f>E100+E106</f>
        <v>108970</v>
      </c>
      <c r="F107" s="903">
        <f t="shared" ref="F107:M107" si="14">F100+F106</f>
        <v>108970</v>
      </c>
      <c r="G107" s="1154">
        <f t="shared" si="14"/>
        <v>0</v>
      </c>
      <c r="H107" s="1155">
        <f t="shared" si="14"/>
        <v>122776</v>
      </c>
      <c r="I107" s="903">
        <f t="shared" si="14"/>
        <v>122776</v>
      </c>
      <c r="J107" s="1156">
        <f t="shared" si="14"/>
        <v>122776</v>
      </c>
      <c r="K107" s="1153">
        <f t="shared" si="14"/>
        <v>122776</v>
      </c>
      <c r="L107" s="903">
        <f t="shared" si="14"/>
        <v>126551</v>
      </c>
      <c r="M107" s="1154">
        <f t="shared" si="14"/>
        <v>130455</v>
      </c>
    </row>
    <row r="108" spans="1:13" s="5" customFormat="1" ht="4.9000000000000004" customHeight="1" x14ac:dyDescent="0.25">
      <c r="B108" s="137"/>
      <c r="C108" s="1166"/>
      <c r="D108" s="1167"/>
      <c r="E108" s="1168"/>
      <c r="F108" s="272"/>
      <c r="G108" s="1169"/>
      <c r="H108" s="1170"/>
      <c r="I108" s="272"/>
      <c r="J108" s="1171"/>
      <c r="K108" s="1168"/>
      <c r="L108" s="272"/>
      <c r="M108" s="1169"/>
    </row>
    <row r="109" spans="1:13" s="5" customFormat="1" ht="25.15" customHeight="1" x14ac:dyDescent="0.25">
      <c r="A109" s="1433" t="s">
        <v>1471</v>
      </c>
      <c r="B109" s="1108"/>
      <c r="C109" s="1109"/>
      <c r="D109" s="1110"/>
      <c r="E109" s="1111" t="str">
        <f>Head1B</f>
        <v>2015/16</v>
      </c>
      <c r="F109" s="1112" t="str">
        <f>Head1A</f>
        <v>2016/17</v>
      </c>
      <c r="G109" s="1113" t="str">
        <f>Head1</f>
        <v>2017/18</v>
      </c>
      <c r="H109" s="1416" t="str">
        <f>Head2</f>
        <v>Budget Year 2018/19</v>
      </c>
      <c r="I109" s="1417"/>
      <c r="J109" s="1434"/>
      <c r="K109" s="1416" t="str">
        <f>Head3</f>
        <v>2018/19 Medium Term Revenue &amp; Expenditure Framework</v>
      </c>
      <c r="L109" s="1417"/>
      <c r="M109" s="1434"/>
    </row>
    <row r="110" spans="1:13" s="5" customFormat="1" ht="25.15" customHeight="1" x14ac:dyDescent="0.25">
      <c r="A110" s="1433"/>
      <c r="B110" s="1114" t="s">
        <v>1361</v>
      </c>
      <c r="C110" s="1115"/>
      <c r="D110" s="1116"/>
      <c r="E110" s="1117" t="str">
        <f>Head5A</f>
        <v>Outcome</v>
      </c>
      <c r="F110" s="1118" t="str">
        <f>Head5A</f>
        <v>Outcome</v>
      </c>
      <c r="G110" s="1119" t="str">
        <f>Head5A</f>
        <v>Outcome</v>
      </c>
      <c r="H110" s="1120" t="str">
        <f>Head6</f>
        <v>Original Budget</v>
      </c>
      <c r="I110" s="1118" t="str">
        <f>Head7</f>
        <v>Adjusted Budget</v>
      </c>
      <c r="J110" s="1119" t="str">
        <f>Head8</f>
        <v>Full Year Forecast</v>
      </c>
      <c r="K110" s="1120" t="str">
        <f>Head9</f>
        <v>Budget Year 2018/19</v>
      </c>
      <c r="L110" s="1118" t="str">
        <f>Head10</f>
        <v>Budget Year +1 2019/20</v>
      </c>
      <c r="M110" s="1119" t="str">
        <f>Head11</f>
        <v>Budget Year +2 2020/21</v>
      </c>
    </row>
    <row r="111" spans="1:13" s="5" customFormat="1" ht="11.25" customHeight="1" x14ac:dyDescent="0.25">
      <c r="B111" s="137"/>
      <c r="C111" s="1121" t="s">
        <v>1466</v>
      </c>
      <c r="D111" s="1132"/>
      <c r="E111" s="1123"/>
      <c r="F111" s="1124"/>
      <c r="G111" s="1125"/>
      <c r="H111" s="1126"/>
      <c r="I111" s="1127"/>
      <c r="J111" s="1128"/>
      <c r="K111" s="1129"/>
      <c r="L111" s="1127"/>
      <c r="M111" s="1130"/>
    </row>
    <row r="112" spans="1:13" s="5" customFormat="1" ht="11.25" customHeight="1" x14ac:dyDescent="0.25">
      <c r="B112" s="137"/>
      <c r="C112" s="1131" t="s">
        <v>600</v>
      </c>
      <c r="D112" s="1132"/>
      <c r="E112" s="715"/>
      <c r="F112" s="257"/>
      <c r="G112" s="1133"/>
      <c r="H112" s="1134"/>
      <c r="I112" s="132"/>
      <c r="J112" s="896"/>
      <c r="K112" s="1135"/>
      <c r="L112" s="132"/>
      <c r="M112" s="1136"/>
    </row>
    <row r="113" spans="2:13" s="5" customFormat="1" ht="11.25" customHeight="1" x14ac:dyDescent="0.25">
      <c r="B113" s="137"/>
      <c r="C113" s="1137" t="s">
        <v>1061</v>
      </c>
      <c r="D113" s="1132"/>
      <c r="E113" s="1138"/>
      <c r="F113" s="1139"/>
      <c r="G113" s="1140"/>
      <c r="H113" s="1141"/>
      <c r="I113" s="1139"/>
      <c r="J113" s="1142"/>
      <c r="K113" s="1138"/>
      <c r="L113" s="1139"/>
      <c r="M113" s="1140"/>
    </row>
    <row r="114" spans="2:13" s="5" customFormat="1" ht="11.25" customHeight="1" x14ac:dyDescent="0.25">
      <c r="B114" s="137"/>
      <c r="C114" s="1137" t="s">
        <v>1062</v>
      </c>
      <c r="D114" s="1132"/>
      <c r="E114" s="1138"/>
      <c r="F114" s="1139"/>
      <c r="G114" s="1140"/>
      <c r="H114" s="1141"/>
      <c r="I114" s="1139"/>
      <c r="J114" s="1142"/>
      <c r="K114" s="1138"/>
      <c r="L114" s="1139"/>
      <c r="M114" s="1140"/>
    </row>
    <row r="115" spans="2:13" s="5" customFormat="1" ht="11.25" customHeight="1" x14ac:dyDescent="0.25">
      <c r="B115" s="1143">
        <v>8</v>
      </c>
      <c r="C115" s="1137" t="s">
        <v>1063</v>
      </c>
      <c r="D115" s="1132"/>
      <c r="E115" s="1138"/>
      <c r="F115" s="1139"/>
      <c r="G115" s="1140"/>
      <c r="H115" s="1141"/>
      <c r="I115" s="1139"/>
      <c r="J115" s="1142"/>
      <c r="K115" s="1138"/>
      <c r="L115" s="1139"/>
      <c r="M115" s="1140"/>
    </row>
    <row r="116" spans="2:13" s="5" customFormat="1" ht="11.25" customHeight="1" x14ac:dyDescent="0.25">
      <c r="B116" s="1143">
        <v>10</v>
      </c>
      <c r="C116" s="1137" t="s">
        <v>1064</v>
      </c>
      <c r="D116" s="1132"/>
      <c r="E116" s="1138"/>
      <c r="F116" s="1139"/>
      <c r="G116" s="1140"/>
      <c r="H116" s="1141"/>
      <c r="I116" s="1139"/>
      <c r="J116" s="1142"/>
      <c r="K116" s="1138"/>
      <c r="L116" s="1139"/>
      <c r="M116" s="1140"/>
    </row>
    <row r="117" spans="2:13" s="5" customFormat="1" ht="11.25" customHeight="1" x14ac:dyDescent="0.25">
      <c r="B117" s="1143"/>
      <c r="C117" s="1183" t="s">
        <v>1125</v>
      </c>
      <c r="D117" s="1132"/>
      <c r="E117" s="1144">
        <f>SUM(E113:E116)</f>
        <v>0</v>
      </c>
      <c r="F117" s="712">
        <f t="shared" ref="F117:M117" si="15">SUM(F113:F116)</f>
        <v>0</v>
      </c>
      <c r="G117" s="1145">
        <f t="shared" si="15"/>
        <v>0</v>
      </c>
      <c r="H117" s="1146">
        <f t="shared" si="15"/>
        <v>0</v>
      </c>
      <c r="I117" s="712">
        <f t="shared" si="15"/>
        <v>0</v>
      </c>
      <c r="J117" s="1147">
        <f t="shared" si="15"/>
        <v>0</v>
      </c>
      <c r="K117" s="1144">
        <f t="shared" si="15"/>
        <v>0</v>
      </c>
      <c r="L117" s="712">
        <f t="shared" si="15"/>
        <v>0</v>
      </c>
      <c r="M117" s="1145">
        <f t="shared" si="15"/>
        <v>0</v>
      </c>
    </row>
    <row r="118" spans="2:13" s="5" customFormat="1" ht="11.25" customHeight="1" x14ac:dyDescent="0.25">
      <c r="B118" s="1143">
        <v>9</v>
      </c>
      <c r="C118" s="1137" t="s">
        <v>1065</v>
      </c>
      <c r="D118" s="1132"/>
      <c r="E118" s="1138"/>
      <c r="F118" s="1139"/>
      <c r="G118" s="1140"/>
      <c r="H118" s="1141"/>
      <c r="I118" s="1139"/>
      <c r="J118" s="1142"/>
      <c r="K118" s="1138"/>
      <c r="L118" s="1139"/>
      <c r="M118" s="1140"/>
    </row>
    <row r="119" spans="2:13" s="5" customFormat="1" ht="11.25" customHeight="1" x14ac:dyDescent="0.25">
      <c r="B119" s="1143">
        <v>10</v>
      </c>
      <c r="C119" s="1137" t="s">
        <v>1066</v>
      </c>
      <c r="D119" s="1132"/>
      <c r="E119" s="1138"/>
      <c r="F119" s="1139"/>
      <c r="G119" s="1140"/>
      <c r="H119" s="1141"/>
      <c r="I119" s="1139"/>
      <c r="J119" s="1142"/>
      <c r="K119" s="1138"/>
      <c r="L119" s="1139"/>
      <c r="M119" s="1140"/>
    </row>
    <row r="120" spans="2:13" s="5" customFormat="1" ht="11.25" customHeight="1" x14ac:dyDescent="0.25">
      <c r="B120" s="137"/>
      <c r="C120" s="1137" t="s">
        <v>1068</v>
      </c>
      <c r="D120" s="1132"/>
      <c r="E120" s="1138"/>
      <c r="F120" s="1139"/>
      <c r="G120" s="1140"/>
      <c r="H120" s="1141"/>
      <c r="I120" s="1139"/>
      <c r="J120" s="1142"/>
      <c r="K120" s="1138"/>
      <c r="L120" s="1139"/>
      <c r="M120" s="1140"/>
    </row>
    <row r="121" spans="2:13" s="5" customFormat="1" ht="11.25" customHeight="1" x14ac:dyDescent="0.25">
      <c r="B121" s="137"/>
      <c r="C121" s="1183" t="s">
        <v>1467</v>
      </c>
      <c r="D121" s="1132"/>
      <c r="E121" s="1148">
        <f>SUM(E118:E120)</f>
        <v>0</v>
      </c>
      <c r="F121" s="901">
        <f t="shared" ref="F121:M121" si="16">SUM(F118:F120)</f>
        <v>0</v>
      </c>
      <c r="G121" s="1149">
        <f t="shared" si="16"/>
        <v>0</v>
      </c>
      <c r="H121" s="1150">
        <f t="shared" si="16"/>
        <v>0</v>
      </c>
      <c r="I121" s="901">
        <f t="shared" si="16"/>
        <v>0</v>
      </c>
      <c r="J121" s="1151">
        <f t="shared" si="16"/>
        <v>0</v>
      </c>
      <c r="K121" s="1148">
        <f t="shared" si="16"/>
        <v>0</v>
      </c>
      <c r="L121" s="901">
        <f t="shared" si="16"/>
        <v>0</v>
      </c>
      <c r="M121" s="1149">
        <f t="shared" si="16"/>
        <v>0</v>
      </c>
    </row>
    <row r="122" spans="2:13" s="5" customFormat="1" ht="11.25" customHeight="1" x14ac:dyDescent="0.25">
      <c r="B122" s="137"/>
      <c r="C122" s="1152" t="s">
        <v>1069</v>
      </c>
      <c r="D122" s="1132"/>
      <c r="E122" s="1153">
        <f>E117+E121</f>
        <v>0</v>
      </c>
      <c r="F122" s="903">
        <f t="shared" ref="F122:M122" si="17">F117+F121</f>
        <v>0</v>
      </c>
      <c r="G122" s="1154">
        <f t="shared" si="17"/>
        <v>0</v>
      </c>
      <c r="H122" s="1155">
        <f t="shared" si="17"/>
        <v>0</v>
      </c>
      <c r="I122" s="903">
        <f t="shared" si="17"/>
        <v>0</v>
      </c>
      <c r="J122" s="1156">
        <f t="shared" si="17"/>
        <v>0</v>
      </c>
      <c r="K122" s="1153">
        <f t="shared" si="17"/>
        <v>0</v>
      </c>
      <c r="L122" s="903">
        <f t="shared" si="17"/>
        <v>0</v>
      </c>
      <c r="M122" s="1154">
        <f t="shared" si="17"/>
        <v>0</v>
      </c>
    </row>
    <row r="123" spans="2:13" s="5" customFormat="1" ht="11.25" customHeight="1" x14ac:dyDescent="0.25">
      <c r="B123" s="137"/>
      <c r="C123" s="1131" t="s">
        <v>601</v>
      </c>
      <c r="D123" s="1132"/>
      <c r="E123" s="1157"/>
      <c r="F123" s="899"/>
      <c r="G123" s="1158"/>
      <c r="H123" s="1159"/>
      <c r="I123" s="899"/>
      <c r="J123" s="1158"/>
      <c r="K123" s="1157"/>
      <c r="L123" s="899"/>
      <c r="M123" s="1160"/>
    </row>
    <row r="124" spans="2:13" s="5" customFormat="1" ht="11.25" customHeight="1" x14ac:dyDescent="0.25">
      <c r="B124" s="137"/>
      <c r="C124" s="1137" t="s">
        <v>1070</v>
      </c>
      <c r="D124" s="1132"/>
      <c r="E124" s="1138"/>
      <c r="F124" s="1139"/>
      <c r="G124" s="1140"/>
      <c r="H124" s="1141"/>
      <c r="I124" s="1139"/>
      <c r="J124" s="1142"/>
      <c r="K124" s="1138"/>
      <c r="L124" s="1139"/>
      <c r="M124" s="1140"/>
    </row>
    <row r="125" spans="2:13" s="5" customFormat="1" ht="11.25" customHeight="1" x14ac:dyDescent="0.25">
      <c r="B125" s="137"/>
      <c r="C125" s="1137" t="s">
        <v>1071</v>
      </c>
      <c r="D125" s="1132"/>
      <c r="E125" s="1138"/>
      <c r="F125" s="1139"/>
      <c r="G125" s="1140"/>
      <c r="H125" s="1141"/>
      <c r="I125" s="1139"/>
      <c r="J125" s="1142"/>
      <c r="K125" s="1138"/>
      <c r="L125" s="1139"/>
      <c r="M125" s="1140"/>
    </row>
    <row r="126" spans="2:13" s="5" customFormat="1" ht="11.25" customHeight="1" x14ac:dyDescent="0.25">
      <c r="B126" s="137"/>
      <c r="C126" s="1137" t="s">
        <v>1072</v>
      </c>
      <c r="D126" s="1132"/>
      <c r="E126" s="1138"/>
      <c r="F126" s="1139"/>
      <c r="G126" s="1140"/>
      <c r="H126" s="1141"/>
      <c r="I126" s="1139"/>
      <c r="J126" s="1142"/>
      <c r="K126" s="1138"/>
      <c r="L126" s="1139"/>
      <c r="M126" s="1140"/>
    </row>
    <row r="127" spans="2:13" s="5" customFormat="1" ht="11.25" customHeight="1" x14ac:dyDescent="0.25">
      <c r="B127" s="137"/>
      <c r="C127" s="1137" t="s">
        <v>298</v>
      </c>
      <c r="D127" s="1132"/>
      <c r="E127" s="1138"/>
      <c r="F127" s="1139"/>
      <c r="G127" s="1140"/>
      <c r="H127" s="1141"/>
      <c r="I127" s="1139"/>
      <c r="J127" s="1142"/>
      <c r="K127" s="1138"/>
      <c r="L127" s="1139"/>
      <c r="M127" s="1140"/>
    </row>
    <row r="128" spans="2:13" s="5" customFormat="1" ht="11.25" customHeight="1" x14ac:dyDescent="0.25">
      <c r="B128" s="137"/>
      <c r="C128" s="1137" t="s">
        <v>300</v>
      </c>
      <c r="D128" s="1132"/>
      <c r="E128" s="1138"/>
      <c r="F128" s="1139"/>
      <c r="G128" s="1140"/>
      <c r="H128" s="1141"/>
      <c r="I128" s="1139"/>
      <c r="J128" s="1142"/>
      <c r="K128" s="1138"/>
      <c r="L128" s="1139"/>
      <c r="M128" s="1140"/>
    </row>
    <row r="129" spans="2:13" s="5" customFormat="1" ht="11.25" customHeight="1" x14ac:dyDescent="0.25">
      <c r="B129" s="137"/>
      <c r="C129" s="1183" t="s">
        <v>1125</v>
      </c>
      <c r="D129" s="1132"/>
      <c r="E129" s="1144">
        <f>SUM(E124:E128)</f>
        <v>0</v>
      </c>
      <c r="F129" s="712">
        <f t="shared" ref="F129:M129" si="18">SUM(F124:F128)</f>
        <v>0</v>
      </c>
      <c r="G129" s="1145">
        <f t="shared" si="18"/>
        <v>0</v>
      </c>
      <c r="H129" s="1146">
        <f t="shared" si="18"/>
        <v>0</v>
      </c>
      <c r="I129" s="712">
        <f t="shared" si="18"/>
        <v>0</v>
      </c>
      <c r="J129" s="1147">
        <f t="shared" si="18"/>
        <v>0</v>
      </c>
      <c r="K129" s="1144">
        <f t="shared" si="18"/>
        <v>0</v>
      </c>
      <c r="L129" s="712">
        <f t="shared" si="18"/>
        <v>0</v>
      </c>
      <c r="M129" s="1145">
        <f t="shared" si="18"/>
        <v>0</v>
      </c>
    </row>
    <row r="130" spans="2:13" s="5" customFormat="1" ht="11.25" customHeight="1" x14ac:dyDescent="0.25">
      <c r="B130" s="137"/>
      <c r="C130" s="1137" t="s">
        <v>299</v>
      </c>
      <c r="D130" s="1132"/>
      <c r="E130" s="1138"/>
      <c r="F130" s="1139"/>
      <c r="G130" s="1140"/>
      <c r="H130" s="1141"/>
      <c r="I130" s="1139"/>
      <c r="J130" s="1142"/>
      <c r="K130" s="1138"/>
      <c r="L130" s="1139"/>
      <c r="M130" s="1140"/>
    </row>
    <row r="131" spans="2:13" s="5" customFormat="1" ht="11.25" customHeight="1" x14ac:dyDescent="0.25">
      <c r="B131" s="137"/>
      <c r="C131" s="1137" t="s">
        <v>301</v>
      </c>
      <c r="D131" s="1132"/>
      <c r="E131" s="1138"/>
      <c r="F131" s="1139"/>
      <c r="G131" s="1140"/>
      <c r="H131" s="1141"/>
      <c r="I131" s="1139"/>
      <c r="J131" s="1142"/>
      <c r="K131" s="1138"/>
      <c r="L131" s="1139"/>
      <c r="M131" s="1140"/>
    </row>
    <row r="132" spans="2:13" s="5" customFormat="1" ht="11.25" customHeight="1" x14ac:dyDescent="0.25">
      <c r="B132" s="137"/>
      <c r="C132" s="1137" t="s">
        <v>1073</v>
      </c>
      <c r="D132" s="1132"/>
      <c r="E132" s="1138"/>
      <c r="F132" s="1139"/>
      <c r="G132" s="1140"/>
      <c r="H132" s="1141"/>
      <c r="I132" s="1139"/>
      <c r="J132" s="1142"/>
      <c r="K132" s="1138"/>
      <c r="L132" s="1139"/>
      <c r="M132" s="1140"/>
    </row>
    <row r="133" spans="2:13" s="5" customFormat="1" ht="11.25" customHeight="1" x14ac:dyDescent="0.25">
      <c r="B133" s="137"/>
      <c r="C133" s="1183" t="s">
        <v>1467</v>
      </c>
      <c r="D133" s="1132"/>
      <c r="E133" s="1148">
        <f>SUM(E130:E132)</f>
        <v>0</v>
      </c>
      <c r="F133" s="901">
        <f t="shared" ref="F133:M133" si="19">SUM(F130:F132)</f>
        <v>0</v>
      </c>
      <c r="G133" s="1149">
        <f t="shared" si="19"/>
        <v>0</v>
      </c>
      <c r="H133" s="1150">
        <f t="shared" si="19"/>
        <v>0</v>
      </c>
      <c r="I133" s="901">
        <f t="shared" si="19"/>
        <v>0</v>
      </c>
      <c r="J133" s="1151">
        <f t="shared" si="19"/>
        <v>0</v>
      </c>
      <c r="K133" s="1148">
        <f t="shared" si="19"/>
        <v>0</v>
      </c>
      <c r="L133" s="901">
        <f t="shared" si="19"/>
        <v>0</v>
      </c>
      <c r="M133" s="1149">
        <f t="shared" si="19"/>
        <v>0</v>
      </c>
    </row>
    <row r="134" spans="2:13" s="5" customFormat="1" ht="11.25" customHeight="1" x14ac:dyDescent="0.25">
      <c r="B134" s="137"/>
      <c r="C134" s="1152" t="s">
        <v>1069</v>
      </c>
      <c r="D134" s="1132"/>
      <c r="E134" s="1153">
        <f>E129+E133</f>
        <v>0</v>
      </c>
      <c r="F134" s="903">
        <f t="shared" ref="F134:M134" si="20">F129+F133</f>
        <v>0</v>
      </c>
      <c r="G134" s="1154">
        <f t="shared" si="20"/>
        <v>0</v>
      </c>
      <c r="H134" s="1155">
        <f t="shared" si="20"/>
        <v>0</v>
      </c>
      <c r="I134" s="903">
        <f t="shared" si="20"/>
        <v>0</v>
      </c>
      <c r="J134" s="1156">
        <f t="shared" si="20"/>
        <v>0</v>
      </c>
      <c r="K134" s="1153">
        <f t="shared" si="20"/>
        <v>0</v>
      </c>
      <c r="L134" s="903">
        <f t="shared" si="20"/>
        <v>0</v>
      </c>
      <c r="M134" s="1154">
        <f t="shared" si="20"/>
        <v>0</v>
      </c>
    </row>
    <row r="135" spans="2:13" s="5" customFormat="1" ht="11.25" customHeight="1" x14ac:dyDescent="0.25">
      <c r="B135" s="137"/>
      <c r="C135" s="1131" t="s">
        <v>602</v>
      </c>
      <c r="D135" s="1132"/>
      <c r="E135" s="1157"/>
      <c r="F135" s="899"/>
      <c r="G135" s="1158"/>
      <c r="H135" s="1159"/>
      <c r="I135" s="899"/>
      <c r="J135" s="1158"/>
      <c r="K135" s="1157"/>
      <c r="L135" s="899"/>
      <c r="M135" s="1160"/>
    </row>
    <row r="136" spans="2:13" s="5" customFormat="1" ht="11.25" customHeight="1" x14ac:dyDescent="0.25">
      <c r="B136" s="137"/>
      <c r="C136" s="1137" t="s">
        <v>1468</v>
      </c>
      <c r="D136" s="1132"/>
      <c r="E136" s="1138"/>
      <c r="F136" s="1139"/>
      <c r="G136" s="1140"/>
      <c r="H136" s="1141"/>
      <c r="I136" s="1139"/>
      <c r="J136" s="1142"/>
      <c r="K136" s="1138"/>
      <c r="L136" s="1139"/>
      <c r="M136" s="1140"/>
    </row>
    <row r="137" spans="2:13" s="5" customFormat="1" ht="11.25" customHeight="1" x14ac:dyDescent="0.25">
      <c r="B137" s="137"/>
      <c r="C137" s="1137" t="s">
        <v>1469</v>
      </c>
      <c r="D137" s="1132"/>
      <c r="E137" s="1138"/>
      <c r="F137" s="1139"/>
      <c r="G137" s="1140"/>
      <c r="H137" s="1141"/>
      <c r="I137" s="1139"/>
      <c r="J137" s="1142"/>
      <c r="K137" s="1138"/>
      <c r="L137" s="1139"/>
      <c r="M137" s="1140"/>
    </row>
    <row r="138" spans="2:13" s="5" customFormat="1" ht="11.25" customHeight="1" x14ac:dyDescent="0.25">
      <c r="B138" s="137"/>
      <c r="C138" s="1183" t="s">
        <v>1125</v>
      </c>
      <c r="D138" s="1132"/>
      <c r="E138" s="1144">
        <f>SUM(E136:E137)</f>
        <v>0</v>
      </c>
      <c r="F138" s="712">
        <f t="shared" ref="F138:M138" si="21">SUM(F136:F137)</f>
        <v>0</v>
      </c>
      <c r="G138" s="1145">
        <f t="shared" si="21"/>
        <v>0</v>
      </c>
      <c r="H138" s="1146">
        <f t="shared" si="21"/>
        <v>0</v>
      </c>
      <c r="I138" s="712">
        <f t="shared" si="21"/>
        <v>0</v>
      </c>
      <c r="J138" s="1147">
        <f t="shared" si="21"/>
        <v>0</v>
      </c>
      <c r="K138" s="1144">
        <f t="shared" si="21"/>
        <v>0</v>
      </c>
      <c r="L138" s="712">
        <f t="shared" si="21"/>
        <v>0</v>
      </c>
      <c r="M138" s="1145">
        <f t="shared" si="21"/>
        <v>0</v>
      </c>
    </row>
    <row r="139" spans="2:13" s="5" customFormat="1" ht="11.25" customHeight="1" x14ac:dyDescent="0.25">
      <c r="B139" s="137"/>
      <c r="C139" s="1137" t="s">
        <v>1074</v>
      </c>
      <c r="D139" s="1132"/>
      <c r="E139" s="1138"/>
      <c r="F139" s="1139"/>
      <c r="G139" s="1140"/>
      <c r="H139" s="1141"/>
      <c r="I139" s="1139"/>
      <c r="J139" s="1142"/>
      <c r="K139" s="1138"/>
      <c r="L139" s="1139"/>
      <c r="M139" s="1140"/>
    </row>
    <row r="140" spans="2:13" s="5" customFormat="1" ht="11.25" customHeight="1" x14ac:dyDescent="0.25">
      <c r="B140" s="137"/>
      <c r="C140" s="1137" t="s">
        <v>1075</v>
      </c>
      <c r="D140" s="1132"/>
      <c r="E140" s="1138"/>
      <c r="F140" s="1139"/>
      <c r="G140" s="1140"/>
      <c r="H140" s="1141"/>
      <c r="I140" s="1139"/>
      <c r="J140" s="1142"/>
      <c r="K140" s="1138"/>
      <c r="L140" s="1139"/>
      <c r="M140" s="1140"/>
    </row>
    <row r="141" spans="2:13" s="5" customFormat="1" ht="11.25" customHeight="1" x14ac:dyDescent="0.25">
      <c r="B141" s="137"/>
      <c r="C141" s="1137" t="s">
        <v>1076</v>
      </c>
      <c r="D141" s="1132"/>
      <c r="E141" s="1138"/>
      <c r="F141" s="1139"/>
      <c r="G141" s="1140"/>
      <c r="H141" s="1141"/>
      <c r="I141" s="1139"/>
      <c r="J141" s="1142"/>
      <c r="K141" s="1138"/>
      <c r="L141" s="1139"/>
      <c r="M141" s="1140"/>
    </row>
    <row r="142" spans="2:13" s="5" customFormat="1" ht="11.25" customHeight="1" x14ac:dyDescent="0.25">
      <c r="B142" s="137"/>
      <c r="C142" s="1183" t="s">
        <v>1467</v>
      </c>
      <c r="D142" s="1132"/>
      <c r="E142" s="1148">
        <f>SUM(E139:E141)</f>
        <v>0</v>
      </c>
      <c r="F142" s="901">
        <f t="shared" ref="F142:M142" si="22">SUM(F139:F141)</f>
        <v>0</v>
      </c>
      <c r="G142" s="1149">
        <f t="shared" si="22"/>
        <v>0</v>
      </c>
      <c r="H142" s="1150">
        <f t="shared" si="22"/>
        <v>0</v>
      </c>
      <c r="I142" s="901">
        <f t="shared" si="22"/>
        <v>0</v>
      </c>
      <c r="J142" s="1151">
        <f t="shared" si="22"/>
        <v>0</v>
      </c>
      <c r="K142" s="1148">
        <f t="shared" si="22"/>
        <v>0</v>
      </c>
      <c r="L142" s="901">
        <f t="shared" si="22"/>
        <v>0</v>
      </c>
      <c r="M142" s="1149">
        <f t="shared" si="22"/>
        <v>0</v>
      </c>
    </row>
    <row r="143" spans="2:13" s="5" customFormat="1" ht="11.25" customHeight="1" x14ac:dyDescent="0.25">
      <c r="B143" s="137"/>
      <c r="C143" s="1152" t="s">
        <v>1069</v>
      </c>
      <c r="D143" s="1132"/>
      <c r="E143" s="1153">
        <f>E138+E142</f>
        <v>0</v>
      </c>
      <c r="F143" s="903">
        <f t="shared" ref="F143:M143" si="23">F138+F142</f>
        <v>0</v>
      </c>
      <c r="G143" s="1154">
        <f t="shared" si="23"/>
        <v>0</v>
      </c>
      <c r="H143" s="1155">
        <f t="shared" si="23"/>
        <v>0</v>
      </c>
      <c r="I143" s="903">
        <f t="shared" si="23"/>
        <v>0</v>
      </c>
      <c r="J143" s="1156">
        <f t="shared" si="23"/>
        <v>0</v>
      </c>
      <c r="K143" s="1153">
        <f t="shared" si="23"/>
        <v>0</v>
      </c>
      <c r="L143" s="903">
        <f t="shared" si="23"/>
        <v>0</v>
      </c>
      <c r="M143" s="1154">
        <f t="shared" si="23"/>
        <v>0</v>
      </c>
    </row>
    <row r="144" spans="2:13" s="5" customFormat="1" ht="11.25" customHeight="1" x14ac:dyDescent="0.25">
      <c r="B144" s="137"/>
      <c r="C144" s="1131" t="s">
        <v>603</v>
      </c>
      <c r="D144" s="1132"/>
      <c r="E144" s="1157"/>
      <c r="F144" s="899"/>
      <c r="G144" s="1158"/>
      <c r="H144" s="1159"/>
      <c r="I144" s="899"/>
      <c r="J144" s="1158"/>
      <c r="K144" s="1157"/>
      <c r="L144" s="899"/>
      <c r="M144" s="1160"/>
    </row>
    <row r="145" spans="1:13" s="5" customFormat="1" ht="11.25" customHeight="1" x14ac:dyDescent="0.25">
      <c r="B145" s="137"/>
      <c r="C145" s="1137" t="s">
        <v>1470</v>
      </c>
      <c r="D145" s="1132"/>
      <c r="E145" s="1161"/>
      <c r="F145" s="1162"/>
      <c r="G145" s="1163"/>
      <c r="H145" s="1164"/>
      <c r="I145" s="1162"/>
      <c r="J145" s="1165"/>
      <c r="K145" s="1161"/>
      <c r="L145" s="1162"/>
      <c r="M145" s="1163"/>
    </row>
    <row r="146" spans="1:13" s="5" customFormat="1" ht="11.25" customHeight="1" x14ac:dyDescent="0.25">
      <c r="B146" s="137"/>
      <c r="C146" s="1183" t="s">
        <v>1125</v>
      </c>
      <c r="D146" s="1132"/>
      <c r="E146" s="1157">
        <f>SUM(E145)</f>
        <v>0</v>
      </c>
      <c r="F146" s="899">
        <f t="shared" ref="F146:M146" si="24">SUM(F145)</f>
        <v>0</v>
      </c>
      <c r="G146" s="1160">
        <f t="shared" si="24"/>
        <v>0</v>
      </c>
      <c r="H146" s="1159">
        <f t="shared" si="24"/>
        <v>0</v>
      </c>
      <c r="I146" s="899">
        <f t="shared" si="24"/>
        <v>0</v>
      </c>
      <c r="J146" s="1158">
        <f t="shared" si="24"/>
        <v>0</v>
      </c>
      <c r="K146" s="1157">
        <f t="shared" si="24"/>
        <v>0</v>
      </c>
      <c r="L146" s="899">
        <f t="shared" si="24"/>
        <v>0</v>
      </c>
      <c r="M146" s="1160">
        <f t="shared" si="24"/>
        <v>0</v>
      </c>
    </row>
    <row r="147" spans="1:13" s="5" customFormat="1" ht="11.25" customHeight="1" x14ac:dyDescent="0.25">
      <c r="B147" s="137"/>
      <c r="C147" s="1137" t="s">
        <v>1078</v>
      </c>
      <c r="D147" s="1132"/>
      <c r="E147" s="1138"/>
      <c r="F147" s="1139"/>
      <c r="G147" s="1140"/>
      <c r="H147" s="1141"/>
      <c r="I147" s="1139"/>
      <c r="J147" s="1142"/>
      <c r="K147" s="1138"/>
      <c r="L147" s="1139"/>
      <c r="M147" s="1140"/>
    </row>
    <row r="148" spans="1:13" s="5" customFormat="1" ht="11.25" customHeight="1" x14ac:dyDescent="0.25">
      <c r="B148" s="137"/>
      <c r="C148" s="1137" t="s">
        <v>1079</v>
      </c>
      <c r="D148" s="1132"/>
      <c r="E148" s="1138"/>
      <c r="F148" s="1139"/>
      <c r="G148" s="1140"/>
      <c r="H148" s="1141"/>
      <c r="I148" s="1139"/>
      <c r="J148" s="1142"/>
      <c r="K148" s="1138"/>
      <c r="L148" s="1139"/>
      <c r="M148" s="1140"/>
    </row>
    <row r="149" spans="1:13" s="5" customFormat="1" ht="11.25" customHeight="1" x14ac:dyDescent="0.25">
      <c r="B149" s="137"/>
      <c r="C149" s="1137" t="s">
        <v>1080</v>
      </c>
      <c r="D149" s="1132"/>
      <c r="E149" s="1138"/>
      <c r="F149" s="1139"/>
      <c r="G149" s="1140"/>
      <c r="H149" s="1141"/>
      <c r="I149" s="1139"/>
      <c r="J149" s="1142"/>
      <c r="K149" s="1138"/>
      <c r="L149" s="1139"/>
      <c r="M149" s="1140"/>
    </row>
    <row r="150" spans="1:13" s="5" customFormat="1" ht="11.25" customHeight="1" x14ac:dyDescent="0.25">
      <c r="B150" s="137"/>
      <c r="C150" s="1137" t="s">
        <v>1081</v>
      </c>
      <c r="D150" s="1132"/>
      <c r="E150" s="1138"/>
      <c r="F150" s="1139"/>
      <c r="G150" s="1140"/>
      <c r="H150" s="1141"/>
      <c r="I150" s="1139"/>
      <c r="J150" s="1142"/>
      <c r="K150" s="1138"/>
      <c r="L150" s="1139"/>
      <c r="M150" s="1140"/>
    </row>
    <row r="151" spans="1:13" s="5" customFormat="1" ht="11.25" customHeight="1" x14ac:dyDescent="0.25">
      <c r="B151" s="137"/>
      <c r="C151" s="1137" t="s">
        <v>1082</v>
      </c>
      <c r="D151" s="1132"/>
      <c r="E151" s="1138"/>
      <c r="F151" s="1139"/>
      <c r="G151" s="1140"/>
      <c r="H151" s="1141"/>
      <c r="I151" s="1139"/>
      <c r="J151" s="1142"/>
      <c r="K151" s="1138"/>
      <c r="L151" s="1139"/>
      <c r="M151" s="1140"/>
    </row>
    <row r="152" spans="1:13" s="5" customFormat="1" ht="11.25" customHeight="1" x14ac:dyDescent="0.25">
      <c r="B152" s="137"/>
      <c r="C152" s="1183" t="s">
        <v>1467</v>
      </c>
      <c r="D152" s="1132"/>
      <c r="E152" s="1148">
        <f t="shared" ref="E152:M152" si="25">SUM(E147:E151)</f>
        <v>0</v>
      </c>
      <c r="F152" s="901">
        <f t="shared" si="25"/>
        <v>0</v>
      </c>
      <c r="G152" s="1149">
        <f t="shared" si="25"/>
        <v>0</v>
      </c>
      <c r="H152" s="1150">
        <f t="shared" si="25"/>
        <v>0</v>
      </c>
      <c r="I152" s="901">
        <f t="shared" si="25"/>
        <v>0</v>
      </c>
      <c r="J152" s="1151">
        <f t="shared" si="25"/>
        <v>0</v>
      </c>
      <c r="K152" s="1148">
        <f t="shared" si="25"/>
        <v>0</v>
      </c>
      <c r="L152" s="901">
        <f t="shared" si="25"/>
        <v>0</v>
      </c>
      <c r="M152" s="1149">
        <f t="shared" si="25"/>
        <v>0</v>
      </c>
    </row>
    <row r="153" spans="1:13" s="5" customFormat="1" ht="11.25" customHeight="1" x14ac:dyDescent="0.25">
      <c r="B153" s="137"/>
      <c r="C153" s="1152" t="s">
        <v>1069</v>
      </c>
      <c r="D153" s="1132"/>
      <c r="E153" s="1153">
        <f>E146+E152</f>
        <v>0</v>
      </c>
      <c r="F153" s="903">
        <f t="shared" ref="F153:M153" si="26">F146+F152</f>
        <v>0</v>
      </c>
      <c r="G153" s="1154">
        <f t="shared" si="26"/>
        <v>0</v>
      </c>
      <c r="H153" s="1155">
        <f t="shared" si="26"/>
        <v>0</v>
      </c>
      <c r="I153" s="903">
        <f t="shared" si="26"/>
        <v>0</v>
      </c>
      <c r="J153" s="1156">
        <f t="shared" si="26"/>
        <v>0</v>
      </c>
      <c r="K153" s="1153">
        <f t="shared" si="26"/>
        <v>0</v>
      </c>
      <c r="L153" s="903">
        <f t="shared" si="26"/>
        <v>0</v>
      </c>
      <c r="M153" s="1154">
        <f t="shared" si="26"/>
        <v>0</v>
      </c>
    </row>
    <row r="154" spans="1:13" s="5" customFormat="1" ht="4.9000000000000004" customHeight="1" x14ac:dyDescent="0.25">
      <c r="B154" s="137"/>
      <c r="C154" s="1166"/>
      <c r="D154" s="1167"/>
      <c r="E154" s="1168"/>
      <c r="F154" s="272"/>
      <c r="G154" s="1169"/>
      <c r="H154" s="1170"/>
      <c r="I154" s="272"/>
      <c r="J154" s="1171"/>
      <c r="K154" s="1168"/>
      <c r="L154" s="272"/>
      <c r="M154" s="1169"/>
    </row>
    <row r="155" spans="1:13" s="5" customFormat="1" ht="25.15" customHeight="1" x14ac:dyDescent="0.25">
      <c r="A155" s="1433" t="s">
        <v>1472</v>
      </c>
      <c r="B155" s="1108"/>
      <c r="C155" s="1109"/>
      <c r="D155" s="1110"/>
      <c r="E155" s="1111" t="str">
        <f>Head1B</f>
        <v>2015/16</v>
      </c>
      <c r="F155" s="1112" t="str">
        <f>Head1A</f>
        <v>2016/17</v>
      </c>
      <c r="G155" s="1113" t="str">
        <f>Head1</f>
        <v>2017/18</v>
      </c>
      <c r="H155" s="1416" t="str">
        <f>Head2</f>
        <v>Budget Year 2018/19</v>
      </c>
      <c r="I155" s="1417"/>
      <c r="J155" s="1434"/>
      <c r="K155" s="1416" t="str">
        <f>Head3</f>
        <v>2018/19 Medium Term Revenue &amp; Expenditure Framework</v>
      </c>
      <c r="L155" s="1417"/>
      <c r="M155" s="1434"/>
    </row>
    <row r="156" spans="1:13" s="5" customFormat="1" ht="25.15" customHeight="1" x14ac:dyDescent="0.25">
      <c r="A156" s="1433"/>
      <c r="B156" s="1114" t="s">
        <v>1361</v>
      </c>
      <c r="C156" s="1115"/>
      <c r="D156" s="1116"/>
      <c r="E156" s="1117" t="str">
        <f>Head5A</f>
        <v>Outcome</v>
      </c>
      <c r="F156" s="1118" t="str">
        <f>Head5A</f>
        <v>Outcome</v>
      </c>
      <c r="G156" s="1119" t="str">
        <f>Head5A</f>
        <v>Outcome</v>
      </c>
      <c r="H156" s="1120" t="str">
        <f>Head6</f>
        <v>Original Budget</v>
      </c>
      <c r="I156" s="1118" t="str">
        <f>Head7</f>
        <v>Adjusted Budget</v>
      </c>
      <c r="J156" s="1119" t="str">
        <f>Head8</f>
        <v>Full Year Forecast</v>
      </c>
      <c r="K156" s="1120" t="str">
        <f>Head9</f>
        <v>Budget Year 2018/19</v>
      </c>
      <c r="L156" s="1118" t="str">
        <f>Head10</f>
        <v>Budget Year +1 2019/20</v>
      </c>
      <c r="M156" s="1119" t="str">
        <f>Head11</f>
        <v>Budget Year +2 2020/21</v>
      </c>
    </row>
    <row r="157" spans="1:13" s="5" customFormat="1" ht="11.25" customHeight="1" x14ac:dyDescent="0.25">
      <c r="B157" s="137"/>
      <c r="C157" s="1121" t="s">
        <v>1466</v>
      </c>
      <c r="D157" s="1132"/>
      <c r="E157" s="1123"/>
      <c r="F157" s="1124"/>
      <c r="G157" s="1125"/>
      <c r="H157" s="1126"/>
      <c r="I157" s="1127"/>
      <c r="J157" s="1128"/>
      <c r="K157" s="1129"/>
      <c r="L157" s="1127"/>
      <c r="M157" s="1130"/>
    </row>
    <row r="158" spans="1:13" s="5" customFormat="1" ht="11.25" customHeight="1" x14ac:dyDescent="0.25">
      <c r="A158" s="1172" t="s">
        <v>1473</v>
      </c>
      <c r="B158" s="137"/>
      <c r="C158" s="1131" t="s">
        <v>600</v>
      </c>
      <c r="D158" s="1132"/>
      <c r="E158" s="715"/>
      <c r="F158" s="257"/>
      <c r="G158" s="1133"/>
      <c r="H158" s="1134"/>
      <c r="I158" s="132"/>
      <c r="J158" s="896"/>
      <c r="K158" s="1135"/>
      <c r="L158" s="132"/>
      <c r="M158" s="1136"/>
    </row>
    <row r="159" spans="1:13" s="5" customFormat="1" ht="11.25" customHeight="1" x14ac:dyDescent="0.25">
      <c r="B159" s="137"/>
      <c r="C159" s="1137" t="s">
        <v>1061</v>
      </c>
      <c r="D159" s="1132"/>
      <c r="E159" s="1138"/>
      <c r="F159" s="1139"/>
      <c r="G159" s="1140"/>
      <c r="H159" s="1141"/>
      <c r="I159" s="1139"/>
      <c r="J159" s="1142"/>
      <c r="K159" s="1138"/>
      <c r="L159" s="1139"/>
      <c r="M159" s="1140"/>
    </row>
    <row r="160" spans="1:13" s="5" customFormat="1" ht="11.25" customHeight="1" x14ac:dyDescent="0.25">
      <c r="B160" s="137"/>
      <c r="C160" s="1137" t="s">
        <v>1062</v>
      </c>
      <c r="D160" s="1132"/>
      <c r="E160" s="1138"/>
      <c r="F160" s="1139"/>
      <c r="G160" s="1140"/>
      <c r="H160" s="1141"/>
      <c r="I160" s="1139"/>
      <c r="J160" s="1142"/>
      <c r="K160" s="1138"/>
      <c r="L160" s="1139"/>
      <c r="M160" s="1140"/>
    </row>
    <row r="161" spans="1:13" s="5" customFormat="1" ht="11.25" customHeight="1" x14ac:dyDescent="0.25">
      <c r="B161" s="1143">
        <v>8</v>
      </c>
      <c r="C161" s="1137" t="s">
        <v>1063</v>
      </c>
      <c r="D161" s="1132"/>
      <c r="E161" s="1138"/>
      <c r="F161" s="1139"/>
      <c r="G161" s="1140"/>
      <c r="H161" s="1141"/>
      <c r="I161" s="1139"/>
      <c r="J161" s="1142"/>
      <c r="K161" s="1138"/>
      <c r="L161" s="1139"/>
      <c r="M161" s="1140"/>
    </row>
    <row r="162" spans="1:13" s="5" customFormat="1" ht="11.25" customHeight="1" x14ac:dyDescent="0.25">
      <c r="B162" s="1143">
        <v>10</v>
      </c>
      <c r="C162" s="1137" t="s">
        <v>1064</v>
      </c>
      <c r="D162" s="1132"/>
      <c r="E162" s="1138"/>
      <c r="F162" s="1139"/>
      <c r="G162" s="1140"/>
      <c r="H162" s="1141"/>
      <c r="I162" s="1139"/>
      <c r="J162" s="1142"/>
      <c r="K162" s="1138"/>
      <c r="L162" s="1139"/>
      <c r="M162" s="1140"/>
    </row>
    <row r="163" spans="1:13" s="5" customFormat="1" ht="11.25" customHeight="1" x14ac:dyDescent="0.25">
      <c r="B163" s="1143"/>
      <c r="C163" s="1183" t="s">
        <v>1125</v>
      </c>
      <c r="D163" s="1132"/>
      <c r="E163" s="1144">
        <f>SUM(E159:E162)</f>
        <v>0</v>
      </c>
      <c r="F163" s="712">
        <f t="shared" ref="F163:M163" si="27">SUM(F159:F162)</f>
        <v>0</v>
      </c>
      <c r="G163" s="1145">
        <f t="shared" si="27"/>
        <v>0</v>
      </c>
      <c r="H163" s="1146">
        <f t="shared" si="27"/>
        <v>0</v>
      </c>
      <c r="I163" s="712">
        <f t="shared" si="27"/>
        <v>0</v>
      </c>
      <c r="J163" s="1147">
        <f t="shared" si="27"/>
        <v>0</v>
      </c>
      <c r="K163" s="1144">
        <f t="shared" si="27"/>
        <v>0</v>
      </c>
      <c r="L163" s="712">
        <f t="shared" si="27"/>
        <v>0</v>
      </c>
      <c r="M163" s="1145">
        <f t="shared" si="27"/>
        <v>0</v>
      </c>
    </row>
    <row r="164" spans="1:13" s="5" customFormat="1" ht="11.25" customHeight="1" x14ac:dyDescent="0.25">
      <c r="B164" s="1143">
        <v>9</v>
      </c>
      <c r="C164" s="1137" t="s">
        <v>1065</v>
      </c>
      <c r="D164" s="1132"/>
      <c r="E164" s="1138"/>
      <c r="F164" s="1139"/>
      <c r="G164" s="1140"/>
      <c r="H164" s="1141"/>
      <c r="I164" s="1139"/>
      <c r="J164" s="1142"/>
      <c r="K164" s="1138"/>
      <c r="L164" s="1139"/>
      <c r="M164" s="1140"/>
    </row>
    <row r="165" spans="1:13" s="5" customFormat="1" ht="11.25" customHeight="1" x14ac:dyDescent="0.25">
      <c r="B165" s="1143">
        <v>10</v>
      </c>
      <c r="C165" s="1137" t="s">
        <v>1066</v>
      </c>
      <c r="D165" s="1132"/>
      <c r="E165" s="1138"/>
      <c r="F165" s="1139"/>
      <c r="G165" s="1140"/>
      <c r="H165" s="1141"/>
      <c r="I165" s="1139"/>
      <c r="J165" s="1142"/>
      <c r="K165" s="1138"/>
      <c r="L165" s="1139"/>
      <c r="M165" s="1140"/>
    </row>
    <row r="166" spans="1:13" s="5" customFormat="1" ht="11.25" customHeight="1" x14ac:dyDescent="0.25">
      <c r="B166" s="137"/>
      <c r="C166" s="1137" t="s">
        <v>1068</v>
      </c>
      <c r="D166" s="1132"/>
      <c r="E166" s="1138"/>
      <c r="F166" s="1139"/>
      <c r="G166" s="1140"/>
      <c r="H166" s="1141"/>
      <c r="I166" s="1139"/>
      <c r="J166" s="1142"/>
      <c r="K166" s="1138"/>
      <c r="L166" s="1139"/>
      <c r="M166" s="1140"/>
    </row>
    <row r="167" spans="1:13" s="5" customFormat="1" ht="11.25" customHeight="1" x14ac:dyDescent="0.25">
      <c r="B167" s="137"/>
      <c r="C167" s="1183" t="s">
        <v>1467</v>
      </c>
      <c r="D167" s="1132"/>
      <c r="E167" s="1148">
        <f>SUM(E164:E166)</f>
        <v>0</v>
      </c>
      <c r="F167" s="901">
        <f t="shared" ref="F167:M167" si="28">SUM(F164:F166)</f>
        <v>0</v>
      </c>
      <c r="G167" s="1149">
        <f t="shared" si="28"/>
        <v>0</v>
      </c>
      <c r="H167" s="1150">
        <f t="shared" si="28"/>
        <v>0</v>
      </c>
      <c r="I167" s="901">
        <f t="shared" si="28"/>
        <v>0</v>
      </c>
      <c r="J167" s="1151">
        <f t="shared" si="28"/>
        <v>0</v>
      </c>
      <c r="K167" s="1148">
        <f t="shared" si="28"/>
        <v>0</v>
      </c>
      <c r="L167" s="901">
        <f t="shared" si="28"/>
        <v>0</v>
      </c>
      <c r="M167" s="1149">
        <f t="shared" si="28"/>
        <v>0</v>
      </c>
    </row>
    <row r="168" spans="1:13" s="5" customFormat="1" ht="11.25" customHeight="1" x14ac:dyDescent="0.25">
      <c r="B168" s="137"/>
      <c r="C168" s="1152" t="s">
        <v>1069</v>
      </c>
      <c r="D168" s="1132"/>
      <c r="E168" s="1153">
        <f>E163+E167</f>
        <v>0</v>
      </c>
      <c r="F168" s="903">
        <f t="shared" ref="F168:M168" si="29">F163+F167</f>
        <v>0</v>
      </c>
      <c r="G168" s="1154">
        <f t="shared" si="29"/>
        <v>0</v>
      </c>
      <c r="H168" s="1155">
        <f t="shared" si="29"/>
        <v>0</v>
      </c>
      <c r="I168" s="903">
        <f t="shared" si="29"/>
        <v>0</v>
      </c>
      <c r="J168" s="1156">
        <f t="shared" si="29"/>
        <v>0</v>
      </c>
      <c r="K168" s="1153">
        <f t="shared" si="29"/>
        <v>0</v>
      </c>
      <c r="L168" s="903">
        <f t="shared" si="29"/>
        <v>0</v>
      </c>
      <c r="M168" s="1154">
        <f t="shared" si="29"/>
        <v>0</v>
      </c>
    </row>
    <row r="169" spans="1:13" s="5" customFormat="1" ht="11.25" customHeight="1" x14ac:dyDescent="0.25">
      <c r="A169" s="1172" t="s">
        <v>1473</v>
      </c>
      <c r="B169" s="137"/>
      <c r="C169" s="1131" t="s">
        <v>601</v>
      </c>
      <c r="D169" s="1132"/>
      <c r="E169" s="1157"/>
      <c r="F169" s="899"/>
      <c r="G169" s="1158"/>
      <c r="H169" s="1159"/>
      <c r="I169" s="899"/>
      <c r="J169" s="1158"/>
      <c r="K169" s="1157"/>
      <c r="L169" s="899"/>
      <c r="M169" s="1160"/>
    </row>
    <row r="170" spans="1:13" s="5" customFormat="1" ht="11.25" customHeight="1" x14ac:dyDescent="0.25">
      <c r="B170" s="137"/>
      <c r="C170" s="1137" t="s">
        <v>1070</v>
      </c>
      <c r="D170" s="1132"/>
      <c r="E170" s="1138"/>
      <c r="F170" s="1139"/>
      <c r="G170" s="1140"/>
      <c r="H170" s="1141"/>
      <c r="I170" s="1139"/>
      <c r="J170" s="1142"/>
      <c r="K170" s="1138"/>
      <c r="L170" s="1139"/>
      <c r="M170" s="1140"/>
    </row>
    <row r="171" spans="1:13" s="5" customFormat="1" ht="11.25" customHeight="1" x14ac:dyDescent="0.25">
      <c r="B171" s="137"/>
      <c r="C171" s="1137" t="s">
        <v>1071</v>
      </c>
      <c r="D171" s="1132"/>
      <c r="E171" s="1138"/>
      <c r="F171" s="1139"/>
      <c r="G171" s="1140"/>
      <c r="H171" s="1141"/>
      <c r="I171" s="1139"/>
      <c r="J171" s="1142"/>
      <c r="K171" s="1138"/>
      <c r="L171" s="1139"/>
      <c r="M171" s="1140"/>
    </row>
    <row r="172" spans="1:13" s="5" customFormat="1" ht="11.25" customHeight="1" x14ac:dyDescent="0.25">
      <c r="B172" s="137"/>
      <c r="C172" s="1137" t="s">
        <v>1072</v>
      </c>
      <c r="D172" s="1132"/>
      <c r="E172" s="1138"/>
      <c r="F172" s="1139"/>
      <c r="G172" s="1140"/>
      <c r="H172" s="1141"/>
      <c r="I172" s="1139"/>
      <c r="J172" s="1142"/>
      <c r="K172" s="1138"/>
      <c r="L172" s="1139"/>
      <c r="M172" s="1140"/>
    </row>
    <row r="173" spans="1:13" s="5" customFormat="1" ht="11.25" customHeight="1" x14ac:dyDescent="0.25">
      <c r="B173" s="137"/>
      <c r="C173" s="1137" t="s">
        <v>298</v>
      </c>
      <c r="D173" s="1132"/>
      <c r="E173" s="1138"/>
      <c r="F173" s="1139"/>
      <c r="G173" s="1140"/>
      <c r="H173" s="1141"/>
      <c r="I173" s="1139"/>
      <c r="J173" s="1142"/>
      <c r="K173" s="1138"/>
      <c r="L173" s="1139"/>
      <c r="M173" s="1140"/>
    </row>
    <row r="174" spans="1:13" s="5" customFormat="1" ht="11.25" customHeight="1" x14ac:dyDescent="0.25">
      <c r="B174" s="137"/>
      <c r="C174" s="1137" t="s">
        <v>300</v>
      </c>
      <c r="D174" s="1132"/>
      <c r="E174" s="1138"/>
      <c r="F174" s="1139"/>
      <c r="G174" s="1140"/>
      <c r="H174" s="1141"/>
      <c r="I174" s="1139"/>
      <c r="J174" s="1142"/>
      <c r="K174" s="1138"/>
      <c r="L174" s="1139"/>
      <c r="M174" s="1140"/>
    </row>
    <row r="175" spans="1:13" s="5" customFormat="1" ht="11.25" customHeight="1" x14ac:dyDescent="0.25">
      <c r="B175" s="137"/>
      <c r="C175" s="1183" t="s">
        <v>1125</v>
      </c>
      <c r="D175" s="1132"/>
      <c r="E175" s="1144">
        <f>SUM(E170:E174)</f>
        <v>0</v>
      </c>
      <c r="F175" s="712">
        <f t="shared" ref="F175:M175" si="30">SUM(F170:F174)</f>
        <v>0</v>
      </c>
      <c r="G175" s="1145">
        <f t="shared" si="30"/>
        <v>0</v>
      </c>
      <c r="H175" s="1146">
        <f t="shared" si="30"/>
        <v>0</v>
      </c>
      <c r="I175" s="712">
        <f t="shared" si="30"/>
        <v>0</v>
      </c>
      <c r="J175" s="1147">
        <f t="shared" si="30"/>
        <v>0</v>
      </c>
      <c r="K175" s="1144">
        <f t="shared" si="30"/>
        <v>0</v>
      </c>
      <c r="L175" s="712">
        <f t="shared" si="30"/>
        <v>0</v>
      </c>
      <c r="M175" s="1145">
        <f t="shared" si="30"/>
        <v>0</v>
      </c>
    </row>
    <row r="176" spans="1:13" s="5" customFormat="1" ht="11.25" customHeight="1" x14ac:dyDescent="0.25">
      <c r="B176" s="137"/>
      <c r="C176" s="1137" t="s">
        <v>299</v>
      </c>
      <c r="D176" s="1132"/>
      <c r="E176" s="1138"/>
      <c r="F176" s="1139"/>
      <c r="G176" s="1140"/>
      <c r="H176" s="1141"/>
      <c r="I176" s="1139"/>
      <c r="J176" s="1142"/>
      <c r="K176" s="1138"/>
      <c r="L176" s="1139"/>
      <c r="M176" s="1140"/>
    </row>
    <row r="177" spans="1:13" s="5" customFormat="1" ht="11.25" customHeight="1" x14ac:dyDescent="0.25">
      <c r="B177" s="137"/>
      <c r="C177" s="1137" t="s">
        <v>301</v>
      </c>
      <c r="D177" s="1132"/>
      <c r="E177" s="1138"/>
      <c r="F177" s="1139"/>
      <c r="G177" s="1140"/>
      <c r="H177" s="1141"/>
      <c r="I177" s="1139"/>
      <c r="J177" s="1142"/>
      <c r="K177" s="1138"/>
      <c r="L177" s="1139"/>
      <c r="M177" s="1140"/>
    </row>
    <row r="178" spans="1:13" s="5" customFormat="1" ht="11.25" customHeight="1" x14ac:dyDescent="0.25">
      <c r="B178" s="137"/>
      <c r="C178" s="1137" t="s">
        <v>1073</v>
      </c>
      <c r="D178" s="1132"/>
      <c r="E178" s="1138"/>
      <c r="F178" s="1139"/>
      <c r="G178" s="1140"/>
      <c r="H178" s="1141"/>
      <c r="I178" s="1139"/>
      <c r="J178" s="1142"/>
      <c r="K178" s="1138"/>
      <c r="L178" s="1139"/>
      <c r="M178" s="1140"/>
    </row>
    <row r="179" spans="1:13" s="5" customFormat="1" ht="11.25" customHeight="1" x14ac:dyDescent="0.25">
      <c r="B179" s="137"/>
      <c r="C179" s="1183" t="s">
        <v>1467</v>
      </c>
      <c r="D179" s="1132"/>
      <c r="E179" s="1148">
        <f>SUM(E176:E178)</f>
        <v>0</v>
      </c>
      <c r="F179" s="901">
        <f t="shared" ref="F179:M179" si="31">SUM(F176:F178)</f>
        <v>0</v>
      </c>
      <c r="G179" s="1149">
        <f t="shared" si="31"/>
        <v>0</v>
      </c>
      <c r="H179" s="1150">
        <f t="shared" si="31"/>
        <v>0</v>
      </c>
      <c r="I179" s="901">
        <f t="shared" si="31"/>
        <v>0</v>
      </c>
      <c r="J179" s="1151">
        <f t="shared" si="31"/>
        <v>0</v>
      </c>
      <c r="K179" s="1148">
        <f t="shared" si="31"/>
        <v>0</v>
      </c>
      <c r="L179" s="901">
        <f t="shared" si="31"/>
        <v>0</v>
      </c>
      <c r="M179" s="1149">
        <f t="shared" si="31"/>
        <v>0</v>
      </c>
    </row>
    <row r="180" spans="1:13" s="5" customFormat="1" ht="11.25" customHeight="1" x14ac:dyDescent="0.25">
      <c r="B180" s="137"/>
      <c r="C180" s="1152" t="s">
        <v>1069</v>
      </c>
      <c r="D180" s="1132"/>
      <c r="E180" s="1153">
        <f>E175+E179</f>
        <v>0</v>
      </c>
      <c r="F180" s="903">
        <f t="shared" ref="F180:M180" si="32">F175+F179</f>
        <v>0</v>
      </c>
      <c r="G180" s="1154">
        <f t="shared" si="32"/>
        <v>0</v>
      </c>
      <c r="H180" s="1155">
        <f t="shared" si="32"/>
        <v>0</v>
      </c>
      <c r="I180" s="903">
        <f t="shared" si="32"/>
        <v>0</v>
      </c>
      <c r="J180" s="1156">
        <f t="shared" si="32"/>
        <v>0</v>
      </c>
      <c r="K180" s="1153">
        <f t="shared" si="32"/>
        <v>0</v>
      </c>
      <c r="L180" s="903">
        <f t="shared" si="32"/>
        <v>0</v>
      </c>
      <c r="M180" s="1154">
        <f t="shared" si="32"/>
        <v>0</v>
      </c>
    </row>
    <row r="181" spans="1:13" s="5" customFormat="1" ht="11.25" customHeight="1" x14ac:dyDescent="0.25">
      <c r="A181" s="1172" t="s">
        <v>1473</v>
      </c>
      <c r="B181" s="137"/>
      <c r="C181" s="1131" t="s">
        <v>602</v>
      </c>
      <c r="D181" s="1132"/>
      <c r="E181" s="1157"/>
      <c r="F181" s="899"/>
      <c r="G181" s="1158"/>
      <c r="H181" s="1159"/>
      <c r="I181" s="899"/>
      <c r="J181" s="1158"/>
      <c r="K181" s="1157"/>
      <c r="L181" s="899"/>
      <c r="M181" s="1160"/>
    </row>
    <row r="182" spans="1:13" s="5" customFormat="1" ht="11.25" customHeight="1" x14ac:dyDescent="0.25">
      <c r="B182" s="137"/>
      <c r="C182" s="1137" t="s">
        <v>1468</v>
      </c>
      <c r="D182" s="1132"/>
      <c r="E182" s="1138"/>
      <c r="F182" s="1139"/>
      <c r="G182" s="1140"/>
      <c r="H182" s="1141"/>
      <c r="I182" s="1139"/>
      <c r="J182" s="1142"/>
      <c r="K182" s="1138"/>
      <c r="L182" s="1139"/>
      <c r="M182" s="1140"/>
    </row>
    <row r="183" spans="1:13" s="5" customFormat="1" ht="11.25" customHeight="1" x14ac:dyDescent="0.25">
      <c r="B183" s="137"/>
      <c r="C183" s="1137" t="s">
        <v>1469</v>
      </c>
      <c r="D183" s="1132"/>
      <c r="E183" s="1138"/>
      <c r="F183" s="1139"/>
      <c r="G183" s="1140"/>
      <c r="H183" s="1141"/>
      <c r="I183" s="1139"/>
      <c r="J183" s="1142"/>
      <c r="K183" s="1138"/>
      <c r="L183" s="1139"/>
      <c r="M183" s="1140"/>
    </row>
    <row r="184" spans="1:13" s="5" customFormat="1" ht="11.25" customHeight="1" x14ac:dyDescent="0.25">
      <c r="B184" s="137"/>
      <c r="C184" s="1183" t="s">
        <v>1125</v>
      </c>
      <c r="D184" s="1132"/>
      <c r="E184" s="1144">
        <f>SUM(E182:E183)</f>
        <v>0</v>
      </c>
      <c r="F184" s="712">
        <f t="shared" ref="F184:M184" si="33">SUM(F182:F183)</f>
        <v>0</v>
      </c>
      <c r="G184" s="1145">
        <f t="shared" si="33"/>
        <v>0</v>
      </c>
      <c r="H184" s="1146">
        <f t="shared" si="33"/>
        <v>0</v>
      </c>
      <c r="I184" s="712">
        <f t="shared" si="33"/>
        <v>0</v>
      </c>
      <c r="J184" s="1147">
        <f t="shared" si="33"/>
        <v>0</v>
      </c>
      <c r="K184" s="1144">
        <f t="shared" si="33"/>
        <v>0</v>
      </c>
      <c r="L184" s="712">
        <f t="shared" si="33"/>
        <v>0</v>
      </c>
      <c r="M184" s="1145">
        <f t="shared" si="33"/>
        <v>0</v>
      </c>
    </row>
    <row r="185" spans="1:13" s="5" customFormat="1" ht="11.25" customHeight="1" x14ac:dyDescent="0.25">
      <c r="B185" s="137"/>
      <c r="C185" s="1137" t="s">
        <v>1074</v>
      </c>
      <c r="D185" s="1132"/>
      <c r="E185" s="1138"/>
      <c r="F185" s="1139"/>
      <c r="G185" s="1140"/>
      <c r="H185" s="1141"/>
      <c r="I185" s="1139"/>
      <c r="J185" s="1142"/>
      <c r="K185" s="1138"/>
      <c r="L185" s="1139"/>
      <c r="M185" s="1140"/>
    </row>
    <row r="186" spans="1:13" s="5" customFormat="1" ht="11.25" customHeight="1" x14ac:dyDescent="0.25">
      <c r="B186" s="137"/>
      <c r="C186" s="1137" t="s">
        <v>1075</v>
      </c>
      <c r="D186" s="1132"/>
      <c r="E186" s="1138"/>
      <c r="F186" s="1139"/>
      <c r="G186" s="1140"/>
      <c r="H186" s="1141"/>
      <c r="I186" s="1139"/>
      <c r="J186" s="1142"/>
      <c r="K186" s="1138"/>
      <c r="L186" s="1139"/>
      <c r="M186" s="1140"/>
    </row>
    <row r="187" spans="1:13" s="5" customFormat="1" ht="11.25" customHeight="1" x14ac:dyDescent="0.25">
      <c r="B187" s="137"/>
      <c r="C187" s="1137" t="s">
        <v>1076</v>
      </c>
      <c r="D187" s="1132"/>
      <c r="E187" s="1138"/>
      <c r="F187" s="1139"/>
      <c r="G187" s="1140"/>
      <c r="H187" s="1141"/>
      <c r="I187" s="1139"/>
      <c r="J187" s="1142"/>
      <c r="K187" s="1138"/>
      <c r="L187" s="1139"/>
      <c r="M187" s="1140"/>
    </row>
    <row r="188" spans="1:13" s="5" customFormat="1" ht="11.25" customHeight="1" x14ac:dyDescent="0.25">
      <c r="B188" s="137"/>
      <c r="C188" s="1183" t="s">
        <v>1467</v>
      </c>
      <c r="D188" s="1132"/>
      <c r="E188" s="1148">
        <f>SUM(E185:E187)</f>
        <v>0</v>
      </c>
      <c r="F188" s="901">
        <f t="shared" ref="F188:M188" si="34">SUM(F185:F187)</f>
        <v>0</v>
      </c>
      <c r="G188" s="1149">
        <f t="shared" si="34"/>
        <v>0</v>
      </c>
      <c r="H188" s="1150">
        <f t="shared" si="34"/>
        <v>0</v>
      </c>
      <c r="I188" s="901">
        <f t="shared" si="34"/>
        <v>0</v>
      </c>
      <c r="J188" s="1151">
        <f t="shared" si="34"/>
        <v>0</v>
      </c>
      <c r="K188" s="1148">
        <f t="shared" si="34"/>
        <v>0</v>
      </c>
      <c r="L188" s="901">
        <f t="shared" si="34"/>
        <v>0</v>
      </c>
      <c r="M188" s="1149">
        <f t="shared" si="34"/>
        <v>0</v>
      </c>
    </row>
    <row r="189" spans="1:13" s="5" customFormat="1" ht="11.25" customHeight="1" x14ac:dyDescent="0.25">
      <c r="B189" s="137"/>
      <c r="C189" s="1152" t="s">
        <v>1069</v>
      </c>
      <c r="D189" s="1132"/>
      <c r="E189" s="1153">
        <f>E184+E188</f>
        <v>0</v>
      </c>
      <c r="F189" s="903">
        <f t="shared" ref="F189:M189" si="35">F184+F188</f>
        <v>0</v>
      </c>
      <c r="G189" s="1154">
        <f t="shared" si="35"/>
        <v>0</v>
      </c>
      <c r="H189" s="1155">
        <f t="shared" si="35"/>
        <v>0</v>
      </c>
      <c r="I189" s="903">
        <f t="shared" si="35"/>
        <v>0</v>
      </c>
      <c r="J189" s="1156">
        <f t="shared" si="35"/>
        <v>0</v>
      </c>
      <c r="K189" s="1153">
        <f t="shared" si="35"/>
        <v>0</v>
      </c>
      <c r="L189" s="903">
        <f t="shared" si="35"/>
        <v>0</v>
      </c>
      <c r="M189" s="1154">
        <f t="shared" si="35"/>
        <v>0</v>
      </c>
    </row>
    <row r="190" spans="1:13" s="5" customFormat="1" ht="11.25" customHeight="1" x14ac:dyDescent="0.25">
      <c r="A190" s="1172" t="s">
        <v>1473</v>
      </c>
      <c r="B190" s="137"/>
      <c r="C190" s="1131" t="s">
        <v>603</v>
      </c>
      <c r="D190" s="1132"/>
      <c r="E190" s="1157"/>
      <c r="F190" s="899"/>
      <c r="G190" s="1158"/>
      <c r="H190" s="1159"/>
      <c r="I190" s="899"/>
      <c r="J190" s="1158"/>
      <c r="K190" s="1157"/>
      <c r="L190" s="899"/>
      <c r="M190" s="1160"/>
    </row>
    <row r="191" spans="1:13" s="5" customFormat="1" ht="11.25" customHeight="1" x14ac:dyDescent="0.25">
      <c r="B191" s="137"/>
      <c r="C191" s="1137" t="s">
        <v>1470</v>
      </c>
      <c r="D191" s="1132"/>
      <c r="E191" s="1161"/>
      <c r="F191" s="1162"/>
      <c r="G191" s="1163"/>
      <c r="H191" s="1164"/>
      <c r="I191" s="1162"/>
      <c r="J191" s="1165"/>
      <c r="K191" s="1161"/>
      <c r="L191" s="1162"/>
      <c r="M191" s="1163"/>
    </row>
    <row r="192" spans="1:13" s="5" customFormat="1" ht="11.25" customHeight="1" x14ac:dyDescent="0.25">
      <c r="B192" s="137"/>
      <c r="C192" s="1183" t="s">
        <v>1125</v>
      </c>
      <c r="D192" s="1132"/>
      <c r="E192" s="1157">
        <f>SUM(E191)</f>
        <v>0</v>
      </c>
      <c r="F192" s="899">
        <f t="shared" ref="F192:M192" si="36">SUM(F191)</f>
        <v>0</v>
      </c>
      <c r="G192" s="1160">
        <f t="shared" si="36"/>
        <v>0</v>
      </c>
      <c r="H192" s="1159">
        <f t="shared" si="36"/>
        <v>0</v>
      </c>
      <c r="I192" s="899">
        <f t="shared" si="36"/>
        <v>0</v>
      </c>
      <c r="J192" s="1158">
        <f t="shared" si="36"/>
        <v>0</v>
      </c>
      <c r="K192" s="1157">
        <f t="shared" si="36"/>
        <v>0</v>
      </c>
      <c r="L192" s="899">
        <f t="shared" si="36"/>
        <v>0</v>
      </c>
      <c r="M192" s="1160">
        <f t="shared" si="36"/>
        <v>0</v>
      </c>
    </row>
    <row r="193" spans="1:13" s="5" customFormat="1" ht="11.25" customHeight="1" x14ac:dyDescent="0.25">
      <c r="B193" s="137"/>
      <c r="C193" s="1137" t="s">
        <v>1078</v>
      </c>
      <c r="D193" s="1132"/>
      <c r="E193" s="1138"/>
      <c r="F193" s="1139"/>
      <c r="G193" s="1140"/>
      <c r="H193" s="1141"/>
      <c r="I193" s="1139"/>
      <c r="J193" s="1142"/>
      <c r="K193" s="1138"/>
      <c r="L193" s="1139"/>
      <c r="M193" s="1140"/>
    </row>
    <row r="194" spans="1:13" s="5" customFormat="1" ht="11.25" customHeight="1" x14ac:dyDescent="0.25">
      <c r="B194" s="137"/>
      <c r="C194" s="1137" t="s">
        <v>1079</v>
      </c>
      <c r="D194" s="1132"/>
      <c r="E194" s="1138"/>
      <c r="F194" s="1139"/>
      <c r="G194" s="1140"/>
      <c r="H194" s="1141"/>
      <c r="I194" s="1139"/>
      <c r="J194" s="1142"/>
      <c r="K194" s="1138"/>
      <c r="L194" s="1139"/>
      <c r="M194" s="1140"/>
    </row>
    <row r="195" spans="1:13" s="5" customFormat="1" ht="11.25" customHeight="1" x14ac:dyDescent="0.25">
      <c r="B195" s="137"/>
      <c r="C195" s="1137" t="s">
        <v>1080</v>
      </c>
      <c r="D195" s="1132"/>
      <c r="E195" s="1138"/>
      <c r="F195" s="1139"/>
      <c r="G195" s="1140"/>
      <c r="H195" s="1141"/>
      <c r="I195" s="1139"/>
      <c r="J195" s="1142"/>
      <c r="K195" s="1138"/>
      <c r="L195" s="1139"/>
      <c r="M195" s="1140"/>
    </row>
    <row r="196" spans="1:13" s="5" customFormat="1" ht="11.25" customHeight="1" x14ac:dyDescent="0.25">
      <c r="B196" s="137"/>
      <c r="C196" s="1137" t="s">
        <v>1081</v>
      </c>
      <c r="D196" s="1132"/>
      <c r="E196" s="1138"/>
      <c r="F196" s="1139"/>
      <c r="G196" s="1140"/>
      <c r="H196" s="1141"/>
      <c r="I196" s="1139"/>
      <c r="J196" s="1142"/>
      <c r="K196" s="1138"/>
      <c r="L196" s="1139"/>
      <c r="M196" s="1140"/>
    </row>
    <row r="197" spans="1:13" s="5" customFormat="1" ht="11.25" customHeight="1" x14ac:dyDescent="0.25">
      <c r="B197" s="137"/>
      <c r="C197" s="1137" t="s">
        <v>1082</v>
      </c>
      <c r="D197" s="1132"/>
      <c r="E197" s="1138"/>
      <c r="F197" s="1139"/>
      <c r="G197" s="1140"/>
      <c r="H197" s="1141"/>
      <c r="I197" s="1139"/>
      <c r="J197" s="1142"/>
      <c r="K197" s="1138"/>
      <c r="L197" s="1139"/>
      <c r="M197" s="1140"/>
    </row>
    <row r="198" spans="1:13" s="5" customFormat="1" ht="11.25" customHeight="1" x14ac:dyDescent="0.25">
      <c r="B198" s="137"/>
      <c r="C198" s="1183" t="s">
        <v>1467</v>
      </c>
      <c r="D198" s="1132"/>
      <c r="E198" s="1148">
        <f t="shared" ref="E198:M198" si="37">SUM(E193:E197)</f>
        <v>0</v>
      </c>
      <c r="F198" s="901">
        <f t="shared" si="37"/>
        <v>0</v>
      </c>
      <c r="G198" s="1149">
        <f t="shared" si="37"/>
        <v>0</v>
      </c>
      <c r="H198" s="1150">
        <f t="shared" si="37"/>
        <v>0</v>
      </c>
      <c r="I198" s="901">
        <f t="shared" si="37"/>
        <v>0</v>
      </c>
      <c r="J198" s="1151">
        <f t="shared" si="37"/>
        <v>0</v>
      </c>
      <c r="K198" s="1148">
        <f t="shared" si="37"/>
        <v>0</v>
      </c>
      <c r="L198" s="901">
        <f t="shared" si="37"/>
        <v>0</v>
      </c>
      <c r="M198" s="1149">
        <f t="shared" si="37"/>
        <v>0</v>
      </c>
    </row>
    <row r="199" spans="1:13" s="5" customFormat="1" ht="11.25" customHeight="1" x14ac:dyDescent="0.25">
      <c r="B199" s="137"/>
      <c r="C199" s="1152" t="s">
        <v>1069</v>
      </c>
      <c r="D199" s="1132"/>
      <c r="E199" s="1153">
        <f>E192+E198</f>
        <v>0</v>
      </c>
      <c r="F199" s="903">
        <f t="shared" ref="F199:M199" si="38">F192+F198</f>
        <v>0</v>
      </c>
      <c r="G199" s="1154">
        <f t="shared" si="38"/>
        <v>0</v>
      </c>
      <c r="H199" s="1155">
        <f t="shared" si="38"/>
        <v>0</v>
      </c>
      <c r="I199" s="903">
        <f t="shared" si="38"/>
        <v>0</v>
      </c>
      <c r="J199" s="1156">
        <f t="shared" si="38"/>
        <v>0</v>
      </c>
      <c r="K199" s="1153">
        <f t="shared" si="38"/>
        <v>0</v>
      </c>
      <c r="L199" s="903">
        <f t="shared" si="38"/>
        <v>0</v>
      </c>
      <c r="M199" s="1154">
        <f t="shared" si="38"/>
        <v>0</v>
      </c>
    </row>
    <row r="200" spans="1:13" s="5" customFormat="1" ht="4.9000000000000004" customHeight="1" x14ac:dyDescent="0.25">
      <c r="B200" s="137"/>
      <c r="C200" s="1166"/>
      <c r="D200" s="1167"/>
      <c r="E200" s="1168"/>
      <c r="F200" s="272"/>
      <c r="G200" s="1169"/>
      <c r="H200" s="1170"/>
      <c r="I200" s="272"/>
      <c r="J200" s="1171"/>
      <c r="K200" s="1168"/>
      <c r="L200" s="272"/>
      <c r="M200" s="1169"/>
    </row>
    <row r="201" spans="1:13" s="5" customFormat="1" ht="25.15" customHeight="1" x14ac:dyDescent="0.25">
      <c r="A201" s="1433" t="s">
        <v>1474</v>
      </c>
      <c r="B201" s="1108"/>
      <c r="C201" s="1109"/>
      <c r="D201" s="1110"/>
      <c r="E201" s="1111" t="str">
        <f>Head1B</f>
        <v>2015/16</v>
      </c>
      <c r="F201" s="1112" t="str">
        <f>Head1A</f>
        <v>2016/17</v>
      </c>
      <c r="G201" s="1113" t="str">
        <f>Head1</f>
        <v>2017/18</v>
      </c>
      <c r="H201" s="1416" t="str">
        <f>Head2</f>
        <v>Budget Year 2018/19</v>
      </c>
      <c r="I201" s="1417"/>
      <c r="J201" s="1434"/>
      <c r="K201" s="1416" t="str">
        <f>Head3</f>
        <v>2018/19 Medium Term Revenue &amp; Expenditure Framework</v>
      </c>
      <c r="L201" s="1417"/>
      <c r="M201" s="1434"/>
    </row>
    <row r="202" spans="1:13" s="5" customFormat="1" ht="25.15" customHeight="1" x14ac:dyDescent="0.25">
      <c r="A202" s="1433"/>
      <c r="B202" s="1114" t="s">
        <v>1361</v>
      </c>
      <c r="C202" s="1115"/>
      <c r="D202" s="1116"/>
      <c r="E202" s="1117" t="str">
        <f>Head5A</f>
        <v>Outcome</v>
      </c>
      <c r="F202" s="1118" t="str">
        <f>Head5A</f>
        <v>Outcome</v>
      </c>
      <c r="G202" s="1119" t="str">
        <f>Head5A</f>
        <v>Outcome</v>
      </c>
      <c r="H202" s="1120" t="str">
        <f>Head6</f>
        <v>Original Budget</v>
      </c>
      <c r="I202" s="1118" t="str">
        <f>Head7</f>
        <v>Adjusted Budget</v>
      </c>
      <c r="J202" s="1119" t="str">
        <f>Head8</f>
        <v>Full Year Forecast</v>
      </c>
      <c r="K202" s="1120" t="str">
        <f>Head9</f>
        <v>Budget Year 2018/19</v>
      </c>
      <c r="L202" s="1118" t="str">
        <f>Head10</f>
        <v>Budget Year +1 2019/20</v>
      </c>
      <c r="M202" s="1119" t="str">
        <f>Head11</f>
        <v>Budget Year +2 2020/21</v>
      </c>
    </row>
    <row r="203" spans="1:13" s="5" customFormat="1" ht="11.25" customHeight="1" x14ac:dyDescent="0.25">
      <c r="A203" s="1173" t="s">
        <v>1475</v>
      </c>
      <c r="B203" s="137"/>
      <c r="C203" s="1121" t="s">
        <v>1466</v>
      </c>
      <c r="D203" s="1132"/>
      <c r="E203" s="1123"/>
      <c r="F203" s="1124"/>
      <c r="G203" s="1125"/>
      <c r="H203" s="1126"/>
      <c r="I203" s="1127"/>
      <c r="J203" s="1128"/>
      <c r="K203" s="1129"/>
      <c r="L203" s="1127"/>
      <c r="M203" s="1130"/>
    </row>
    <row r="204" spans="1:13" s="5" customFormat="1" ht="11.25" customHeight="1" x14ac:dyDescent="0.25">
      <c r="A204" s="1174"/>
      <c r="B204" s="137"/>
      <c r="C204" s="1131" t="s">
        <v>600</v>
      </c>
      <c r="D204" s="1132"/>
      <c r="E204" s="715"/>
      <c r="F204" s="257"/>
      <c r="G204" s="1133"/>
      <c r="H204" s="1134"/>
      <c r="I204" s="132"/>
      <c r="J204" s="896"/>
      <c r="K204" s="1135"/>
      <c r="L204" s="132"/>
      <c r="M204" s="1136"/>
    </row>
    <row r="205" spans="1:13" s="5" customFormat="1" ht="11.25" customHeight="1" x14ac:dyDescent="0.25">
      <c r="A205" s="1174"/>
      <c r="B205" s="137"/>
      <c r="C205" s="1137" t="s">
        <v>1061</v>
      </c>
      <c r="D205" s="1132"/>
      <c r="E205" s="1138"/>
      <c r="F205" s="1139"/>
      <c r="G205" s="1140"/>
      <c r="H205" s="1141"/>
      <c r="I205" s="1139"/>
      <c r="J205" s="1142"/>
      <c r="K205" s="1138"/>
      <c r="L205" s="1139"/>
      <c r="M205" s="1140"/>
    </row>
    <row r="206" spans="1:13" s="5" customFormat="1" ht="11.25" customHeight="1" x14ac:dyDescent="0.25">
      <c r="A206" s="1174"/>
      <c r="B206" s="137"/>
      <c r="C206" s="1137" t="s">
        <v>1062</v>
      </c>
      <c r="D206" s="1132"/>
      <c r="E206" s="1138"/>
      <c r="F206" s="1139"/>
      <c r="G206" s="1140"/>
      <c r="H206" s="1141"/>
      <c r="I206" s="1139"/>
      <c r="J206" s="1142"/>
      <c r="K206" s="1138"/>
      <c r="L206" s="1139"/>
      <c r="M206" s="1140"/>
    </row>
    <row r="207" spans="1:13" s="5" customFormat="1" ht="11.25" customHeight="1" x14ac:dyDescent="0.25">
      <c r="A207" s="1174"/>
      <c r="B207" s="1143">
        <v>8</v>
      </c>
      <c r="C207" s="1137" t="s">
        <v>1063</v>
      </c>
      <c r="D207" s="1132"/>
      <c r="E207" s="1138"/>
      <c r="F207" s="1139"/>
      <c r="G207" s="1140"/>
      <c r="H207" s="1141"/>
      <c r="I207" s="1139"/>
      <c r="J207" s="1142"/>
      <c r="K207" s="1138"/>
      <c r="L207" s="1139"/>
      <c r="M207" s="1140"/>
    </row>
    <row r="208" spans="1:13" s="5" customFormat="1" ht="11.25" customHeight="1" x14ac:dyDescent="0.25">
      <c r="A208" s="1174"/>
      <c r="B208" s="1143">
        <v>10</v>
      </c>
      <c r="C208" s="1137" t="s">
        <v>1064</v>
      </c>
      <c r="D208" s="1132"/>
      <c r="E208" s="1138"/>
      <c r="F208" s="1139"/>
      <c r="G208" s="1140"/>
      <c r="H208" s="1141"/>
      <c r="I208" s="1139"/>
      <c r="J208" s="1142"/>
      <c r="K208" s="1138"/>
      <c r="L208" s="1139"/>
      <c r="M208" s="1140"/>
    </row>
    <row r="209" spans="1:13" s="5" customFormat="1" ht="11.25" customHeight="1" x14ac:dyDescent="0.25">
      <c r="A209" s="1174"/>
      <c r="B209" s="1143"/>
      <c r="C209" s="1183" t="s">
        <v>1125</v>
      </c>
      <c r="D209" s="1132"/>
      <c r="E209" s="1144">
        <f>SUM(E205:E208)</f>
        <v>0</v>
      </c>
      <c r="F209" s="712">
        <f t="shared" ref="F209:M209" si="39">SUM(F205:F208)</f>
        <v>0</v>
      </c>
      <c r="G209" s="1145">
        <f t="shared" si="39"/>
        <v>0</v>
      </c>
      <c r="H209" s="1146">
        <f t="shared" si="39"/>
        <v>0</v>
      </c>
      <c r="I209" s="712">
        <f t="shared" si="39"/>
        <v>0</v>
      </c>
      <c r="J209" s="1147">
        <f t="shared" si="39"/>
        <v>0</v>
      </c>
      <c r="K209" s="1144">
        <f t="shared" si="39"/>
        <v>0</v>
      </c>
      <c r="L209" s="712">
        <f t="shared" si="39"/>
        <v>0</v>
      </c>
      <c r="M209" s="1145">
        <f t="shared" si="39"/>
        <v>0</v>
      </c>
    </row>
    <row r="210" spans="1:13" s="5" customFormat="1" ht="11.25" customHeight="1" x14ac:dyDescent="0.25">
      <c r="A210" s="1174"/>
      <c r="B210" s="1143">
        <v>9</v>
      </c>
      <c r="C210" s="1137" t="s">
        <v>1065</v>
      </c>
      <c r="D210" s="1132"/>
      <c r="E210" s="1138"/>
      <c r="F210" s="1139"/>
      <c r="G210" s="1140"/>
      <c r="H210" s="1141"/>
      <c r="I210" s="1139"/>
      <c r="J210" s="1142"/>
      <c r="K210" s="1138"/>
      <c r="L210" s="1139"/>
      <c r="M210" s="1140"/>
    </row>
    <row r="211" spans="1:13" s="5" customFormat="1" ht="11.25" customHeight="1" x14ac:dyDescent="0.25">
      <c r="A211" s="1174"/>
      <c r="B211" s="1143">
        <v>10</v>
      </c>
      <c r="C211" s="1137" t="s">
        <v>1066</v>
      </c>
      <c r="D211" s="1132"/>
      <c r="E211" s="1138"/>
      <c r="F211" s="1139"/>
      <c r="G211" s="1140"/>
      <c r="H211" s="1141"/>
      <c r="I211" s="1139"/>
      <c r="J211" s="1142"/>
      <c r="K211" s="1138"/>
      <c r="L211" s="1139"/>
      <c r="M211" s="1140"/>
    </row>
    <row r="212" spans="1:13" s="5" customFormat="1" ht="11.25" customHeight="1" x14ac:dyDescent="0.25">
      <c r="A212" s="1174"/>
      <c r="B212" s="137"/>
      <c r="C212" s="1137" t="s">
        <v>1068</v>
      </c>
      <c r="D212" s="1132"/>
      <c r="E212" s="1138"/>
      <c r="F212" s="1139"/>
      <c r="G212" s="1140"/>
      <c r="H212" s="1141"/>
      <c r="I212" s="1139"/>
      <c r="J212" s="1142"/>
      <c r="K212" s="1138"/>
      <c r="L212" s="1139"/>
      <c r="M212" s="1140"/>
    </row>
    <row r="213" spans="1:13" s="5" customFormat="1" ht="11.25" customHeight="1" x14ac:dyDescent="0.25">
      <c r="A213" s="1174"/>
      <c r="B213" s="137"/>
      <c r="C213" s="1183" t="s">
        <v>1467</v>
      </c>
      <c r="D213" s="1132"/>
      <c r="E213" s="1148">
        <f>SUM(E210:E212)</f>
        <v>0</v>
      </c>
      <c r="F213" s="901">
        <f t="shared" ref="F213:M213" si="40">SUM(F210:F212)</f>
        <v>0</v>
      </c>
      <c r="G213" s="1149">
        <f t="shared" si="40"/>
        <v>0</v>
      </c>
      <c r="H213" s="1150">
        <f t="shared" si="40"/>
        <v>0</v>
      </c>
      <c r="I213" s="901">
        <f t="shared" si="40"/>
        <v>0</v>
      </c>
      <c r="J213" s="1151">
        <f t="shared" si="40"/>
        <v>0</v>
      </c>
      <c r="K213" s="1148">
        <f t="shared" si="40"/>
        <v>0</v>
      </c>
      <c r="L213" s="901">
        <f t="shared" si="40"/>
        <v>0</v>
      </c>
      <c r="M213" s="1149">
        <f t="shared" si="40"/>
        <v>0</v>
      </c>
    </row>
    <row r="214" spans="1:13" s="5" customFormat="1" ht="11.25" customHeight="1" x14ac:dyDescent="0.25">
      <c r="B214" s="137"/>
      <c r="C214" s="1152" t="s">
        <v>1069</v>
      </c>
      <c r="D214" s="1132"/>
      <c r="E214" s="1153">
        <f>E209+E213</f>
        <v>0</v>
      </c>
      <c r="F214" s="903">
        <f t="shared" ref="F214:M214" si="41">F209+F213</f>
        <v>0</v>
      </c>
      <c r="G214" s="1154">
        <f t="shared" si="41"/>
        <v>0</v>
      </c>
      <c r="H214" s="1155">
        <f t="shared" si="41"/>
        <v>0</v>
      </c>
      <c r="I214" s="903">
        <f t="shared" si="41"/>
        <v>0</v>
      </c>
      <c r="J214" s="1156">
        <f t="shared" si="41"/>
        <v>0</v>
      </c>
      <c r="K214" s="1153">
        <f t="shared" si="41"/>
        <v>0</v>
      </c>
      <c r="L214" s="903">
        <f t="shared" si="41"/>
        <v>0</v>
      </c>
      <c r="M214" s="1154">
        <f t="shared" si="41"/>
        <v>0</v>
      </c>
    </row>
    <row r="215" spans="1:13" s="5" customFormat="1" ht="11.25" customHeight="1" x14ac:dyDescent="0.25">
      <c r="A215" s="1173" t="s">
        <v>1475</v>
      </c>
      <c r="B215" s="137"/>
      <c r="C215" s="1131" t="s">
        <v>601</v>
      </c>
      <c r="D215" s="1132"/>
      <c r="E215" s="1157"/>
      <c r="F215" s="899"/>
      <c r="G215" s="1158"/>
      <c r="H215" s="1159"/>
      <c r="I215" s="899"/>
      <c r="J215" s="1158"/>
      <c r="K215" s="1157"/>
      <c r="L215" s="899"/>
      <c r="M215" s="1160"/>
    </row>
    <row r="216" spans="1:13" s="5" customFormat="1" ht="11.25" customHeight="1" x14ac:dyDescent="0.25">
      <c r="A216" s="1174"/>
      <c r="B216" s="137"/>
      <c r="C216" s="1137" t="s">
        <v>1070</v>
      </c>
      <c r="D216" s="1132"/>
      <c r="E216" s="1138"/>
      <c r="F216" s="1139"/>
      <c r="G216" s="1140"/>
      <c r="H216" s="1141"/>
      <c r="I216" s="1139"/>
      <c r="J216" s="1142"/>
      <c r="K216" s="1138"/>
      <c r="L216" s="1139"/>
      <c r="M216" s="1140"/>
    </row>
    <row r="217" spans="1:13" s="5" customFormat="1" ht="11.25" customHeight="1" x14ac:dyDescent="0.25">
      <c r="A217" s="1174"/>
      <c r="B217" s="137"/>
      <c r="C217" s="1137" t="s">
        <v>1071</v>
      </c>
      <c r="D217" s="1132"/>
      <c r="E217" s="1138"/>
      <c r="F217" s="1139"/>
      <c r="G217" s="1140"/>
      <c r="H217" s="1141"/>
      <c r="I217" s="1139"/>
      <c r="J217" s="1142"/>
      <c r="K217" s="1138"/>
      <c r="L217" s="1139"/>
      <c r="M217" s="1140"/>
    </row>
    <row r="218" spans="1:13" s="5" customFormat="1" ht="11.25" customHeight="1" x14ac:dyDescent="0.25">
      <c r="A218" s="1174"/>
      <c r="B218" s="137"/>
      <c r="C218" s="1137" t="s">
        <v>1072</v>
      </c>
      <c r="D218" s="1132"/>
      <c r="E218" s="1138"/>
      <c r="F218" s="1139"/>
      <c r="G218" s="1140"/>
      <c r="H218" s="1141"/>
      <c r="I218" s="1139"/>
      <c r="J218" s="1142"/>
      <c r="K218" s="1138"/>
      <c r="L218" s="1139"/>
      <c r="M218" s="1140"/>
    </row>
    <row r="219" spans="1:13" s="5" customFormat="1" ht="11.25" customHeight="1" x14ac:dyDescent="0.25">
      <c r="A219" s="1174"/>
      <c r="B219" s="137"/>
      <c r="C219" s="1137" t="s">
        <v>298</v>
      </c>
      <c r="D219" s="1132"/>
      <c r="E219" s="1138"/>
      <c r="F219" s="1139"/>
      <c r="G219" s="1140"/>
      <c r="H219" s="1141"/>
      <c r="I219" s="1139"/>
      <c r="J219" s="1142"/>
      <c r="K219" s="1138"/>
      <c r="L219" s="1139"/>
      <c r="M219" s="1140"/>
    </row>
    <row r="220" spans="1:13" s="5" customFormat="1" ht="11.25" customHeight="1" x14ac:dyDescent="0.25">
      <c r="A220" s="1174"/>
      <c r="B220" s="137"/>
      <c r="C220" s="1137" t="s">
        <v>300</v>
      </c>
      <c r="D220" s="1132"/>
      <c r="E220" s="1138"/>
      <c r="F220" s="1139"/>
      <c r="G220" s="1140"/>
      <c r="H220" s="1141"/>
      <c r="I220" s="1139"/>
      <c r="J220" s="1142"/>
      <c r="K220" s="1138"/>
      <c r="L220" s="1139"/>
      <c r="M220" s="1140"/>
    </row>
    <row r="221" spans="1:13" s="5" customFormat="1" ht="11.25" customHeight="1" x14ac:dyDescent="0.25">
      <c r="A221" s="1174"/>
      <c r="B221" s="137"/>
      <c r="C221" s="1183" t="s">
        <v>1125</v>
      </c>
      <c r="D221" s="1132"/>
      <c r="E221" s="1144">
        <f>SUM(E216:E220)</f>
        <v>0</v>
      </c>
      <c r="F221" s="712">
        <f t="shared" ref="F221:M221" si="42">SUM(F216:F220)</f>
        <v>0</v>
      </c>
      <c r="G221" s="1145">
        <f t="shared" si="42"/>
        <v>0</v>
      </c>
      <c r="H221" s="1146">
        <f t="shared" si="42"/>
        <v>0</v>
      </c>
      <c r="I221" s="712">
        <f t="shared" si="42"/>
        <v>0</v>
      </c>
      <c r="J221" s="1147">
        <f t="shared" si="42"/>
        <v>0</v>
      </c>
      <c r="K221" s="1144">
        <f t="shared" si="42"/>
        <v>0</v>
      </c>
      <c r="L221" s="712">
        <f t="shared" si="42"/>
        <v>0</v>
      </c>
      <c r="M221" s="1145">
        <f t="shared" si="42"/>
        <v>0</v>
      </c>
    </row>
    <row r="222" spans="1:13" s="5" customFormat="1" ht="11.25" customHeight="1" x14ac:dyDescent="0.25">
      <c r="A222" s="1174"/>
      <c r="B222" s="137"/>
      <c r="C222" s="1137" t="s">
        <v>299</v>
      </c>
      <c r="D222" s="1132"/>
      <c r="E222" s="1138"/>
      <c r="F222" s="1139"/>
      <c r="G222" s="1140"/>
      <c r="H222" s="1141"/>
      <c r="I222" s="1139"/>
      <c r="J222" s="1142"/>
      <c r="K222" s="1138"/>
      <c r="L222" s="1139"/>
      <c r="M222" s="1140"/>
    </row>
    <row r="223" spans="1:13" s="5" customFormat="1" ht="11.25" customHeight="1" x14ac:dyDescent="0.25">
      <c r="A223" s="1174"/>
      <c r="B223" s="137"/>
      <c r="C223" s="1137" t="s">
        <v>301</v>
      </c>
      <c r="D223" s="1132"/>
      <c r="E223" s="1138"/>
      <c r="F223" s="1139"/>
      <c r="G223" s="1140"/>
      <c r="H223" s="1141"/>
      <c r="I223" s="1139"/>
      <c r="J223" s="1142"/>
      <c r="K223" s="1138"/>
      <c r="L223" s="1139"/>
      <c r="M223" s="1140"/>
    </row>
    <row r="224" spans="1:13" s="5" customFormat="1" ht="11.25" customHeight="1" x14ac:dyDescent="0.25">
      <c r="A224" s="1174"/>
      <c r="B224" s="137"/>
      <c r="C224" s="1137" t="s">
        <v>1073</v>
      </c>
      <c r="D224" s="1132"/>
      <c r="E224" s="1138"/>
      <c r="F224" s="1139"/>
      <c r="G224" s="1140"/>
      <c r="H224" s="1141"/>
      <c r="I224" s="1139"/>
      <c r="J224" s="1142"/>
      <c r="K224" s="1138"/>
      <c r="L224" s="1139"/>
      <c r="M224" s="1140"/>
    </row>
    <row r="225" spans="1:13" s="5" customFormat="1" ht="11.25" customHeight="1" x14ac:dyDescent="0.25">
      <c r="A225" s="1174"/>
      <c r="B225" s="137"/>
      <c r="C225" s="1183" t="s">
        <v>1467</v>
      </c>
      <c r="D225" s="1132"/>
      <c r="E225" s="1148">
        <f>SUM(E222:E224)</f>
        <v>0</v>
      </c>
      <c r="F225" s="901">
        <f t="shared" ref="F225:M225" si="43">SUM(F222:F224)</f>
        <v>0</v>
      </c>
      <c r="G225" s="1149">
        <f t="shared" si="43"/>
        <v>0</v>
      </c>
      <c r="H225" s="1150">
        <f t="shared" si="43"/>
        <v>0</v>
      </c>
      <c r="I225" s="901">
        <f t="shared" si="43"/>
        <v>0</v>
      </c>
      <c r="J225" s="1151">
        <f t="shared" si="43"/>
        <v>0</v>
      </c>
      <c r="K225" s="1148">
        <f t="shared" si="43"/>
        <v>0</v>
      </c>
      <c r="L225" s="901">
        <f t="shared" si="43"/>
        <v>0</v>
      </c>
      <c r="M225" s="1149">
        <f t="shared" si="43"/>
        <v>0</v>
      </c>
    </row>
    <row r="226" spans="1:13" s="5" customFormat="1" ht="11.25" customHeight="1" x14ac:dyDescent="0.25">
      <c r="B226" s="137"/>
      <c r="C226" s="1152" t="s">
        <v>1069</v>
      </c>
      <c r="D226" s="1132"/>
      <c r="E226" s="1153">
        <f>E221+E225</f>
        <v>0</v>
      </c>
      <c r="F226" s="903">
        <f t="shared" ref="F226:M226" si="44">F221+F225</f>
        <v>0</v>
      </c>
      <c r="G226" s="1154">
        <f t="shared" si="44"/>
        <v>0</v>
      </c>
      <c r="H226" s="1155">
        <f t="shared" si="44"/>
        <v>0</v>
      </c>
      <c r="I226" s="903">
        <f t="shared" si="44"/>
        <v>0</v>
      </c>
      <c r="J226" s="1156">
        <f t="shared" si="44"/>
        <v>0</v>
      </c>
      <c r="K226" s="1153">
        <f t="shared" si="44"/>
        <v>0</v>
      </c>
      <c r="L226" s="903">
        <f t="shared" si="44"/>
        <v>0</v>
      </c>
      <c r="M226" s="1154">
        <f t="shared" si="44"/>
        <v>0</v>
      </c>
    </row>
    <row r="227" spans="1:13" s="5" customFormat="1" ht="11.25" customHeight="1" x14ac:dyDescent="0.25">
      <c r="A227" s="1173" t="s">
        <v>1475</v>
      </c>
      <c r="B227" s="137"/>
      <c r="C227" s="1131" t="s">
        <v>602</v>
      </c>
      <c r="D227" s="1132"/>
      <c r="E227" s="1157"/>
      <c r="F227" s="899"/>
      <c r="G227" s="1158"/>
      <c r="H227" s="1159"/>
      <c r="I227" s="899"/>
      <c r="J227" s="1158"/>
      <c r="K227" s="1157"/>
      <c r="L227" s="899"/>
      <c r="M227" s="1160"/>
    </row>
    <row r="228" spans="1:13" s="5" customFormat="1" ht="11.25" customHeight="1" x14ac:dyDescent="0.25">
      <c r="A228" s="1174"/>
      <c r="B228" s="137"/>
      <c r="C228" s="1137" t="s">
        <v>1468</v>
      </c>
      <c r="D228" s="1132"/>
      <c r="E228" s="1138"/>
      <c r="F228" s="1139"/>
      <c r="G228" s="1140"/>
      <c r="H228" s="1141"/>
      <c r="I228" s="1139"/>
      <c r="J228" s="1142"/>
      <c r="K228" s="1138"/>
      <c r="L228" s="1139"/>
      <c r="M228" s="1140"/>
    </row>
    <row r="229" spans="1:13" s="5" customFormat="1" ht="11.25" customHeight="1" x14ac:dyDescent="0.25">
      <c r="A229" s="1174"/>
      <c r="B229" s="137"/>
      <c r="C229" s="1137" t="s">
        <v>1469</v>
      </c>
      <c r="D229" s="1132"/>
      <c r="E229" s="1138"/>
      <c r="F229" s="1139"/>
      <c r="G229" s="1140"/>
      <c r="H229" s="1141"/>
      <c r="I229" s="1139"/>
      <c r="J229" s="1142"/>
      <c r="K229" s="1138"/>
      <c r="L229" s="1139"/>
      <c r="M229" s="1140"/>
    </row>
    <row r="230" spans="1:13" s="5" customFormat="1" ht="11.25" customHeight="1" x14ac:dyDescent="0.25">
      <c r="A230" s="1174"/>
      <c r="B230" s="137"/>
      <c r="C230" s="1183" t="s">
        <v>1125</v>
      </c>
      <c r="D230" s="1132"/>
      <c r="E230" s="1144">
        <f>SUM(E228:E229)</f>
        <v>0</v>
      </c>
      <c r="F230" s="712">
        <f t="shared" ref="F230:M230" si="45">SUM(F228:F229)</f>
        <v>0</v>
      </c>
      <c r="G230" s="1145">
        <f t="shared" si="45"/>
        <v>0</v>
      </c>
      <c r="H230" s="1146">
        <f t="shared" si="45"/>
        <v>0</v>
      </c>
      <c r="I230" s="712">
        <f t="shared" si="45"/>
        <v>0</v>
      </c>
      <c r="J230" s="1147">
        <f t="shared" si="45"/>
        <v>0</v>
      </c>
      <c r="K230" s="1144">
        <f t="shared" si="45"/>
        <v>0</v>
      </c>
      <c r="L230" s="712">
        <f t="shared" si="45"/>
        <v>0</v>
      </c>
      <c r="M230" s="1145">
        <f t="shared" si="45"/>
        <v>0</v>
      </c>
    </row>
    <row r="231" spans="1:13" s="5" customFormat="1" ht="11.25" customHeight="1" x14ac:dyDescent="0.25">
      <c r="A231" s="1174"/>
      <c r="B231" s="137"/>
      <c r="C231" s="1137" t="s">
        <v>1074</v>
      </c>
      <c r="D231" s="1132"/>
      <c r="E231" s="1138"/>
      <c r="F231" s="1139"/>
      <c r="G231" s="1140"/>
      <c r="H231" s="1141"/>
      <c r="I231" s="1139"/>
      <c r="J231" s="1142"/>
      <c r="K231" s="1138"/>
      <c r="L231" s="1139"/>
      <c r="M231" s="1140"/>
    </row>
    <row r="232" spans="1:13" s="5" customFormat="1" ht="11.25" customHeight="1" x14ac:dyDescent="0.25">
      <c r="A232" s="1174"/>
      <c r="B232" s="137"/>
      <c r="C232" s="1137" t="s">
        <v>1075</v>
      </c>
      <c r="D232" s="1132"/>
      <c r="E232" s="1138"/>
      <c r="F232" s="1139"/>
      <c r="G232" s="1140"/>
      <c r="H232" s="1141"/>
      <c r="I232" s="1139"/>
      <c r="J232" s="1142"/>
      <c r="K232" s="1138"/>
      <c r="L232" s="1139"/>
      <c r="M232" s="1140"/>
    </row>
    <row r="233" spans="1:13" s="5" customFormat="1" ht="11.25" customHeight="1" x14ac:dyDescent="0.25">
      <c r="A233" s="1174"/>
      <c r="B233" s="137"/>
      <c r="C233" s="1137" t="s">
        <v>1076</v>
      </c>
      <c r="D233" s="1132"/>
      <c r="E233" s="1138"/>
      <c r="F233" s="1139"/>
      <c r="G233" s="1140"/>
      <c r="H233" s="1141"/>
      <c r="I233" s="1139"/>
      <c r="J233" s="1142"/>
      <c r="K233" s="1138"/>
      <c r="L233" s="1139"/>
      <c r="M233" s="1140"/>
    </row>
    <row r="234" spans="1:13" s="5" customFormat="1" ht="11.25" customHeight="1" x14ac:dyDescent="0.25">
      <c r="A234" s="1174"/>
      <c r="B234" s="137"/>
      <c r="C234" s="1183" t="s">
        <v>1467</v>
      </c>
      <c r="D234" s="1132"/>
      <c r="E234" s="1148">
        <f>SUM(E231:E233)</f>
        <v>0</v>
      </c>
      <c r="F234" s="901">
        <f t="shared" ref="F234:M234" si="46">SUM(F231:F233)</f>
        <v>0</v>
      </c>
      <c r="G234" s="1149">
        <f t="shared" si="46"/>
        <v>0</v>
      </c>
      <c r="H234" s="1150">
        <f t="shared" si="46"/>
        <v>0</v>
      </c>
      <c r="I234" s="901">
        <f t="shared" si="46"/>
        <v>0</v>
      </c>
      <c r="J234" s="1151">
        <f t="shared" si="46"/>
        <v>0</v>
      </c>
      <c r="K234" s="1148">
        <f t="shared" si="46"/>
        <v>0</v>
      </c>
      <c r="L234" s="901">
        <f t="shared" si="46"/>
        <v>0</v>
      </c>
      <c r="M234" s="1149">
        <f t="shared" si="46"/>
        <v>0</v>
      </c>
    </row>
    <row r="235" spans="1:13" s="5" customFormat="1" ht="11.25" customHeight="1" x14ac:dyDescent="0.25">
      <c r="A235" s="1175"/>
      <c r="B235" s="137"/>
      <c r="C235" s="1152" t="s">
        <v>1069</v>
      </c>
      <c r="D235" s="1132"/>
      <c r="E235" s="1153">
        <f>E230+E234</f>
        <v>0</v>
      </c>
      <c r="F235" s="903">
        <f t="shared" ref="F235:M235" si="47">F230+F234</f>
        <v>0</v>
      </c>
      <c r="G235" s="1154">
        <f t="shared" si="47"/>
        <v>0</v>
      </c>
      <c r="H235" s="1155">
        <f t="shared" si="47"/>
        <v>0</v>
      </c>
      <c r="I235" s="903">
        <f t="shared" si="47"/>
        <v>0</v>
      </c>
      <c r="J235" s="1156">
        <f t="shared" si="47"/>
        <v>0</v>
      </c>
      <c r="K235" s="1153">
        <f t="shared" si="47"/>
        <v>0</v>
      </c>
      <c r="L235" s="903">
        <f t="shared" si="47"/>
        <v>0</v>
      </c>
      <c r="M235" s="1154">
        <f t="shared" si="47"/>
        <v>0</v>
      </c>
    </row>
    <row r="236" spans="1:13" s="5" customFormat="1" ht="11.25" customHeight="1" x14ac:dyDescent="0.25">
      <c r="A236" s="1173" t="s">
        <v>1475</v>
      </c>
      <c r="B236" s="137"/>
      <c r="C236" s="1131" t="s">
        <v>603</v>
      </c>
      <c r="D236" s="1132"/>
      <c r="E236" s="1157"/>
      <c r="F236" s="899"/>
      <c r="G236" s="1158"/>
      <c r="H236" s="1159"/>
      <c r="I236" s="899"/>
      <c r="J236" s="1158"/>
      <c r="K236" s="1157"/>
      <c r="L236" s="899"/>
      <c r="M236" s="1160"/>
    </row>
    <row r="237" spans="1:13" s="5" customFormat="1" ht="11.25" customHeight="1" x14ac:dyDescent="0.25">
      <c r="A237" s="1174"/>
      <c r="B237" s="137"/>
      <c r="C237" s="1137" t="s">
        <v>1470</v>
      </c>
      <c r="D237" s="1132"/>
      <c r="E237" s="1161"/>
      <c r="F237" s="1162"/>
      <c r="G237" s="1163"/>
      <c r="H237" s="1164"/>
      <c r="I237" s="1162"/>
      <c r="J237" s="1165"/>
      <c r="K237" s="1161"/>
      <c r="L237" s="1162"/>
      <c r="M237" s="1163"/>
    </row>
    <row r="238" spans="1:13" s="5" customFormat="1" ht="11.25" customHeight="1" x14ac:dyDescent="0.25">
      <c r="A238" s="1174"/>
      <c r="B238" s="137"/>
      <c r="C238" s="1183" t="s">
        <v>1125</v>
      </c>
      <c r="D238" s="1132"/>
      <c r="E238" s="1157">
        <f>SUM(E237)</f>
        <v>0</v>
      </c>
      <c r="F238" s="899">
        <f t="shared" ref="F238:M238" si="48">SUM(F237)</f>
        <v>0</v>
      </c>
      <c r="G238" s="1160">
        <f t="shared" si="48"/>
        <v>0</v>
      </c>
      <c r="H238" s="1159">
        <f t="shared" si="48"/>
        <v>0</v>
      </c>
      <c r="I238" s="899">
        <f t="shared" si="48"/>
        <v>0</v>
      </c>
      <c r="J238" s="1158">
        <f t="shared" si="48"/>
        <v>0</v>
      </c>
      <c r="K238" s="1157">
        <f t="shared" si="48"/>
        <v>0</v>
      </c>
      <c r="L238" s="899">
        <f t="shared" si="48"/>
        <v>0</v>
      </c>
      <c r="M238" s="1160">
        <f t="shared" si="48"/>
        <v>0</v>
      </c>
    </row>
    <row r="239" spans="1:13" s="5" customFormat="1" ht="11.25" customHeight="1" x14ac:dyDescent="0.25">
      <c r="A239" s="1174"/>
      <c r="B239" s="137"/>
      <c r="C239" s="1137" t="s">
        <v>1078</v>
      </c>
      <c r="D239" s="1132"/>
      <c r="E239" s="1138"/>
      <c r="F239" s="1139"/>
      <c r="G239" s="1140"/>
      <c r="H239" s="1141"/>
      <c r="I239" s="1139"/>
      <c r="J239" s="1142"/>
      <c r="K239" s="1138"/>
      <c r="L239" s="1139"/>
      <c r="M239" s="1140"/>
    </row>
    <row r="240" spans="1:13" s="5" customFormat="1" ht="11.25" customHeight="1" x14ac:dyDescent="0.25">
      <c r="A240" s="1174"/>
      <c r="B240" s="137"/>
      <c r="C240" s="1137" t="s">
        <v>1079</v>
      </c>
      <c r="D240" s="1132"/>
      <c r="E240" s="1138"/>
      <c r="F240" s="1139"/>
      <c r="G240" s="1140"/>
      <c r="H240" s="1141"/>
      <c r="I240" s="1139"/>
      <c r="J240" s="1142"/>
      <c r="K240" s="1138"/>
      <c r="L240" s="1139"/>
      <c r="M240" s="1140"/>
    </row>
    <row r="241" spans="1:15" s="5" customFormat="1" ht="11.25" customHeight="1" x14ac:dyDescent="0.25">
      <c r="A241" s="1174"/>
      <c r="B241" s="137"/>
      <c r="C241" s="1137" t="s">
        <v>1080</v>
      </c>
      <c r="D241" s="1132"/>
      <c r="E241" s="1138"/>
      <c r="F241" s="1139"/>
      <c r="G241" s="1140"/>
      <c r="H241" s="1141"/>
      <c r="I241" s="1139"/>
      <c r="J241" s="1142"/>
      <c r="K241" s="1138"/>
      <c r="L241" s="1139"/>
      <c r="M241" s="1140"/>
    </row>
    <row r="242" spans="1:15" s="5" customFormat="1" ht="11.25" customHeight="1" x14ac:dyDescent="0.25">
      <c r="A242" s="1174"/>
      <c r="B242" s="137"/>
      <c r="C242" s="1137" t="s">
        <v>1081</v>
      </c>
      <c r="D242" s="1132"/>
      <c r="E242" s="1138"/>
      <c r="F242" s="1139"/>
      <c r="G242" s="1140"/>
      <c r="H242" s="1141"/>
      <c r="I242" s="1139"/>
      <c r="J242" s="1142"/>
      <c r="K242" s="1138"/>
      <c r="L242" s="1139"/>
      <c r="M242" s="1140"/>
    </row>
    <row r="243" spans="1:15" s="5" customFormat="1" ht="11.25" customHeight="1" x14ac:dyDescent="0.25">
      <c r="A243" s="1174"/>
      <c r="B243" s="137"/>
      <c r="C243" s="1137" t="s">
        <v>1082</v>
      </c>
      <c r="D243" s="1132"/>
      <c r="E243" s="1138"/>
      <c r="F243" s="1139"/>
      <c r="G243" s="1140"/>
      <c r="H243" s="1141"/>
      <c r="I243" s="1139"/>
      <c r="J243" s="1142"/>
      <c r="K243" s="1138"/>
      <c r="L243" s="1139"/>
      <c r="M243" s="1140"/>
    </row>
    <row r="244" spans="1:15" s="5" customFormat="1" ht="11.25" customHeight="1" x14ac:dyDescent="0.25">
      <c r="A244" s="1174"/>
      <c r="B244" s="137"/>
      <c r="C244" s="1183" t="s">
        <v>1467</v>
      </c>
      <c r="D244" s="1132"/>
      <c r="E244" s="1148">
        <f t="shared" ref="E244:M244" si="49">SUM(E239:E243)</f>
        <v>0</v>
      </c>
      <c r="F244" s="901">
        <f t="shared" si="49"/>
        <v>0</v>
      </c>
      <c r="G244" s="1149">
        <f t="shared" si="49"/>
        <v>0</v>
      </c>
      <c r="H244" s="1150">
        <f t="shared" si="49"/>
        <v>0</v>
      </c>
      <c r="I244" s="901">
        <f t="shared" si="49"/>
        <v>0</v>
      </c>
      <c r="J244" s="1151">
        <f t="shared" si="49"/>
        <v>0</v>
      </c>
      <c r="K244" s="1148">
        <f t="shared" si="49"/>
        <v>0</v>
      </c>
      <c r="L244" s="901">
        <f t="shared" si="49"/>
        <v>0</v>
      </c>
      <c r="M244" s="1149">
        <f t="shared" si="49"/>
        <v>0</v>
      </c>
    </row>
    <row r="245" spans="1:15" s="5" customFormat="1" ht="11.25" customHeight="1" x14ac:dyDescent="0.25">
      <c r="B245" s="137"/>
      <c r="C245" s="1152" t="s">
        <v>1069</v>
      </c>
      <c r="D245" s="1132"/>
      <c r="E245" s="1153">
        <f>E238+E244</f>
        <v>0</v>
      </c>
      <c r="F245" s="903">
        <f t="shared" ref="F245:M245" si="50">F238+F244</f>
        <v>0</v>
      </c>
      <c r="G245" s="1154">
        <f t="shared" si="50"/>
        <v>0</v>
      </c>
      <c r="H245" s="1155">
        <f t="shared" si="50"/>
        <v>0</v>
      </c>
      <c r="I245" s="903">
        <f t="shared" si="50"/>
        <v>0</v>
      </c>
      <c r="J245" s="1156">
        <f t="shared" si="50"/>
        <v>0</v>
      </c>
      <c r="K245" s="1153">
        <f t="shared" si="50"/>
        <v>0</v>
      </c>
      <c r="L245" s="903">
        <f t="shared" si="50"/>
        <v>0</v>
      </c>
      <c r="M245" s="1154">
        <f t="shared" si="50"/>
        <v>0</v>
      </c>
    </row>
    <row r="246" spans="1:15" s="5" customFormat="1" ht="4.9000000000000004" customHeight="1" x14ac:dyDescent="0.25">
      <c r="A246" s="1115"/>
      <c r="B246" s="1114"/>
      <c r="C246" s="1176"/>
      <c r="D246" s="1177"/>
      <c r="E246" s="1178"/>
      <c r="F246" s="1179"/>
      <c r="G246" s="1180"/>
      <c r="H246" s="1181"/>
      <c r="I246" s="1179"/>
      <c r="J246" s="1182"/>
      <c r="K246" s="1178"/>
      <c r="L246" s="1179"/>
      <c r="M246" s="1180"/>
    </row>
    <row r="247" spans="1:15" s="5" customFormat="1" ht="22.9" customHeight="1" x14ac:dyDescent="0.25">
      <c r="A247" s="1431" t="s">
        <v>1717</v>
      </c>
      <c r="B247" s="1265"/>
      <c r="C247" s="1263"/>
      <c r="D247" s="1264"/>
      <c r="E247" s="1390" t="str">
        <f>Head2</f>
        <v>Budget Year 2018/19</v>
      </c>
      <c r="F247" s="1391"/>
      <c r="G247" s="1391"/>
      <c r="H247" s="1391"/>
      <c r="I247" s="1391"/>
      <c r="J247" s="1391"/>
      <c r="K247" s="1391"/>
      <c r="L247" s="1391"/>
      <c r="M247" s="1391"/>
      <c r="N247" s="103" t="str">
        <f>Head10</f>
        <v>Budget Year +1 2019/20</v>
      </c>
      <c r="O247" s="61" t="str">
        <f>Head11</f>
        <v>Budget Year +2 2020/21</v>
      </c>
    </row>
    <row r="248" spans="1:15" s="5" customFormat="1" ht="24.4" customHeight="1" x14ac:dyDescent="0.25">
      <c r="A248" s="1432"/>
      <c r="B248" s="1266"/>
      <c r="C248" s="1262"/>
      <c r="D248" s="1267"/>
      <c r="E248" s="1280" t="str">
        <f>Head6</f>
        <v>Original Budget</v>
      </c>
      <c r="F248" s="1281" t="str">
        <f>Head54</f>
        <v>Prior Adjusted</v>
      </c>
      <c r="G248" s="1281" t="str">
        <f>Head51</f>
        <v>Accum. Funds</v>
      </c>
      <c r="H248" s="1281" t="str">
        <f>Head52</f>
        <v>Multi-year capital</v>
      </c>
      <c r="I248" s="1281" t="str">
        <f>Head53</f>
        <v>Unfore. Unavoid.</v>
      </c>
      <c r="J248" s="1281" t="str">
        <f>Head55</f>
        <v>Nat. or Prov. Govt</v>
      </c>
      <c r="K248" s="1282" t="str">
        <f>Head50</f>
        <v>Other Adjusts.</v>
      </c>
      <c r="L248" s="1282" t="str">
        <f>Head56</f>
        <v>Total Adjusts.</v>
      </c>
      <c r="M248" s="1282" t="str">
        <f>Head7</f>
        <v>Adjusted Budget</v>
      </c>
      <c r="N248" s="1282" t="str">
        <f>Head7</f>
        <v>Adjusted Budget</v>
      </c>
      <c r="O248" s="1283" t="str">
        <f>Head7</f>
        <v>Adjusted Budget</v>
      </c>
    </row>
    <row r="249" spans="1:15" s="5" customFormat="1" ht="14.65" customHeight="1" x14ac:dyDescent="0.25">
      <c r="A249" s="1270" t="s">
        <v>628</v>
      </c>
      <c r="B249" s="1276" t="s">
        <v>1361</v>
      </c>
      <c r="C249" s="1275" t="s">
        <v>1718</v>
      </c>
      <c r="D249" s="1268"/>
      <c r="E249" s="240"/>
      <c r="F249" s="75"/>
      <c r="G249" s="75"/>
      <c r="H249" s="75"/>
      <c r="I249" s="75"/>
      <c r="J249" s="75"/>
      <c r="K249" s="75"/>
      <c r="L249" s="75"/>
      <c r="M249" s="75"/>
      <c r="N249" s="75"/>
      <c r="O249" s="76"/>
    </row>
    <row r="250" spans="1:15" s="5" customFormat="1" ht="14.65" customHeight="1" x14ac:dyDescent="0.25">
      <c r="A250" s="1261" t="s">
        <v>1719</v>
      </c>
      <c r="B250" s="1257"/>
      <c r="C250" s="1269" t="s">
        <v>1748</v>
      </c>
      <c r="D250" s="1258"/>
      <c r="E250" s="389">
        <v>4000000</v>
      </c>
      <c r="F250" s="109"/>
      <c r="G250" s="109"/>
      <c r="H250" s="109"/>
      <c r="I250" s="109"/>
      <c r="J250" s="109"/>
      <c r="K250" s="109"/>
      <c r="L250" s="171">
        <f>SUM(G250:K250)</f>
        <v>0</v>
      </c>
      <c r="M250" s="171">
        <f t="shared" ref="M250:M259" si="51">IF(F250=0,E250+L250,F250+L250)</f>
        <v>4000000</v>
      </c>
      <c r="N250" s="109">
        <v>4500000</v>
      </c>
      <c r="O250" s="110">
        <v>5000000</v>
      </c>
    </row>
    <row r="251" spans="1:15" s="5" customFormat="1" ht="12.4" customHeight="1" x14ac:dyDescent="0.25">
      <c r="A251" s="1261"/>
      <c r="B251" s="1257"/>
      <c r="C251" s="1272" t="s">
        <v>1720</v>
      </c>
      <c r="D251" s="1258"/>
      <c r="E251" s="389">
        <v>6000</v>
      </c>
      <c r="F251" s="109"/>
      <c r="G251" s="109"/>
      <c r="H251" s="109"/>
      <c r="I251" s="109"/>
      <c r="J251" s="109"/>
      <c r="K251" s="109"/>
      <c r="L251" s="171">
        <f t="shared" ref="L251:L259" si="52">SUM(G251:K251)</f>
        <v>0</v>
      </c>
      <c r="M251" s="171">
        <f t="shared" si="51"/>
        <v>6000</v>
      </c>
      <c r="N251" s="109">
        <v>6000</v>
      </c>
      <c r="O251" s="110">
        <v>6000</v>
      </c>
    </row>
    <row r="252" spans="1:15" s="5" customFormat="1" ht="14.65" customHeight="1" x14ac:dyDescent="0.25">
      <c r="A252" s="1261"/>
      <c r="B252" s="1257"/>
      <c r="C252" s="1269" t="s">
        <v>1750</v>
      </c>
      <c r="D252" s="1258"/>
      <c r="E252" s="389"/>
      <c r="F252" s="109"/>
      <c r="G252" s="109"/>
      <c r="H252" s="109"/>
      <c r="I252" s="109"/>
      <c r="J252" s="109"/>
      <c r="K252" s="109"/>
      <c r="L252" s="171">
        <f t="shared" si="52"/>
        <v>0</v>
      </c>
      <c r="M252" s="171">
        <f t="shared" si="51"/>
        <v>0</v>
      </c>
      <c r="N252" s="109"/>
      <c r="O252" s="110"/>
    </row>
    <row r="253" spans="1:15" s="5" customFormat="1" ht="12.4" customHeight="1" x14ac:dyDescent="0.25">
      <c r="A253" s="1261"/>
      <c r="B253" s="1257"/>
      <c r="C253" s="1272" t="s">
        <v>1720</v>
      </c>
      <c r="D253" s="1258"/>
      <c r="E253" s="389"/>
      <c r="F253" s="109"/>
      <c r="G253" s="109"/>
      <c r="H253" s="109"/>
      <c r="I253" s="109"/>
      <c r="J253" s="109"/>
      <c r="K253" s="109"/>
      <c r="L253" s="171">
        <f t="shared" si="52"/>
        <v>0</v>
      </c>
      <c r="M253" s="171">
        <f t="shared" si="51"/>
        <v>0</v>
      </c>
      <c r="N253" s="109"/>
      <c r="O253" s="110"/>
    </row>
    <row r="254" spans="1:15" s="5" customFormat="1" ht="12.4" customHeight="1" x14ac:dyDescent="0.25">
      <c r="A254" s="1261"/>
      <c r="B254" s="1257"/>
      <c r="C254" s="1256" t="s">
        <v>1753</v>
      </c>
      <c r="D254" s="1258"/>
      <c r="E254" s="389"/>
      <c r="F254" s="109"/>
      <c r="G254" s="109"/>
      <c r="H254" s="109"/>
      <c r="I254" s="109"/>
      <c r="J254" s="109"/>
      <c r="K254" s="109"/>
      <c r="L254" s="171">
        <f t="shared" si="52"/>
        <v>0</v>
      </c>
      <c r="M254" s="171">
        <f t="shared" si="51"/>
        <v>0</v>
      </c>
      <c r="N254" s="109"/>
      <c r="O254" s="110"/>
    </row>
    <row r="255" spans="1:15" s="5" customFormat="1" ht="12.4" customHeight="1" x14ac:dyDescent="0.25">
      <c r="A255" s="1261"/>
      <c r="B255" s="1257"/>
      <c r="C255" s="1272" t="s">
        <v>1720</v>
      </c>
      <c r="D255" s="1258"/>
      <c r="E255" s="389"/>
      <c r="F255" s="109"/>
      <c r="G255" s="109"/>
      <c r="H255" s="109"/>
      <c r="I255" s="109"/>
      <c r="J255" s="109"/>
      <c r="K255" s="109"/>
      <c r="L255" s="171">
        <f t="shared" si="52"/>
        <v>0</v>
      </c>
      <c r="M255" s="171">
        <f t="shared" si="51"/>
        <v>0</v>
      </c>
      <c r="N255" s="109"/>
      <c r="O255" s="110"/>
    </row>
    <row r="256" spans="1:15" s="5" customFormat="1" ht="12.4" customHeight="1" x14ac:dyDescent="0.25">
      <c r="A256" s="1261"/>
      <c r="B256" s="1257"/>
      <c r="C256" s="1256" t="s">
        <v>1751</v>
      </c>
      <c r="D256" s="1258"/>
      <c r="E256" s="389"/>
      <c r="F256" s="109"/>
      <c r="G256" s="109"/>
      <c r="H256" s="109"/>
      <c r="I256" s="109"/>
      <c r="J256" s="109"/>
      <c r="K256" s="109"/>
      <c r="L256" s="171">
        <f t="shared" si="52"/>
        <v>0</v>
      </c>
      <c r="M256" s="171">
        <f t="shared" si="51"/>
        <v>0</v>
      </c>
      <c r="N256" s="109"/>
      <c r="O256" s="110"/>
    </row>
    <row r="257" spans="1:15" s="5" customFormat="1" ht="12.4" customHeight="1" x14ac:dyDescent="0.25">
      <c r="A257" s="1261"/>
      <c r="B257" s="1257"/>
      <c r="C257" s="1272" t="s">
        <v>1720</v>
      </c>
      <c r="D257" s="1258"/>
      <c r="E257" s="389"/>
      <c r="F257" s="109"/>
      <c r="G257" s="109"/>
      <c r="H257" s="109"/>
      <c r="I257" s="109"/>
      <c r="J257" s="109"/>
      <c r="K257" s="109"/>
      <c r="L257" s="171">
        <f t="shared" si="52"/>
        <v>0</v>
      </c>
      <c r="M257" s="171">
        <f t="shared" si="51"/>
        <v>0</v>
      </c>
      <c r="N257" s="109"/>
      <c r="O257" s="110"/>
    </row>
    <row r="258" spans="1:15" s="5" customFormat="1" ht="12.4" customHeight="1" x14ac:dyDescent="0.25">
      <c r="A258" s="1261"/>
      <c r="B258" s="1257"/>
      <c r="C258" s="1256" t="s">
        <v>1752</v>
      </c>
      <c r="D258" s="1258"/>
      <c r="E258" s="389"/>
      <c r="F258" s="109"/>
      <c r="G258" s="109"/>
      <c r="H258" s="109"/>
      <c r="I258" s="109"/>
      <c r="J258" s="109"/>
      <c r="K258" s="109"/>
      <c r="L258" s="171">
        <f t="shared" si="52"/>
        <v>0</v>
      </c>
      <c r="M258" s="171">
        <f t="shared" si="51"/>
        <v>0</v>
      </c>
      <c r="N258" s="109"/>
      <c r="O258" s="110"/>
    </row>
    <row r="259" spans="1:15" s="5" customFormat="1" ht="12.4" customHeight="1" x14ac:dyDescent="0.25">
      <c r="A259" s="1261"/>
      <c r="B259" s="1257"/>
      <c r="C259" s="1273" t="s">
        <v>1720</v>
      </c>
      <c r="D259" s="1259"/>
      <c r="E259" s="389"/>
      <c r="F259" s="109"/>
      <c r="G259" s="109"/>
      <c r="H259" s="109"/>
      <c r="I259" s="109"/>
      <c r="J259" s="109"/>
      <c r="K259" s="109"/>
      <c r="L259" s="171">
        <f t="shared" si="52"/>
        <v>0</v>
      </c>
      <c r="M259" s="171">
        <f t="shared" si="51"/>
        <v>0</v>
      </c>
      <c r="N259" s="109"/>
      <c r="O259" s="110"/>
    </row>
    <row r="260" spans="1:15" s="5" customFormat="1" ht="12.4" customHeight="1" x14ac:dyDescent="0.25">
      <c r="A260" s="1277"/>
      <c r="B260" s="1274"/>
      <c r="C260" s="1271" t="s">
        <v>1721</v>
      </c>
      <c r="D260" s="1260"/>
      <c r="E260" s="1296">
        <f>E252+E254+E256+E258</f>
        <v>0</v>
      </c>
      <c r="F260" s="1295">
        <f t="shared" ref="F260:O260" si="53">F252+F254+F256+F258</f>
        <v>0</v>
      </c>
      <c r="G260" s="1278">
        <f t="shared" si="53"/>
        <v>0</v>
      </c>
      <c r="H260" s="1297">
        <f t="shared" si="53"/>
        <v>0</v>
      </c>
      <c r="I260" s="1295">
        <f t="shared" si="53"/>
        <v>0</v>
      </c>
      <c r="J260" s="1298">
        <f t="shared" si="53"/>
        <v>0</v>
      </c>
      <c r="K260" s="1296">
        <f t="shared" si="53"/>
        <v>0</v>
      </c>
      <c r="L260" s="1295">
        <f>L252+L254+L256+L258</f>
        <v>0</v>
      </c>
      <c r="M260" s="1298">
        <f t="shared" si="53"/>
        <v>0</v>
      </c>
      <c r="N260" s="1295">
        <f>N252+N254+N256+N258</f>
        <v>0</v>
      </c>
      <c r="O260" s="1278">
        <f t="shared" si="53"/>
        <v>0</v>
      </c>
    </row>
    <row r="261" spans="1:15" s="5" customFormat="1" ht="12.4" customHeight="1" x14ac:dyDescent="0.25">
      <c r="A261" s="1270" t="s">
        <v>629</v>
      </c>
      <c r="B261" s="1276" t="s">
        <v>1361</v>
      </c>
      <c r="C261" s="1275" t="s">
        <v>1718</v>
      </c>
      <c r="D261" s="1268"/>
      <c r="E261" s="240"/>
      <c r="F261" s="75"/>
      <c r="G261" s="75"/>
      <c r="H261" s="75"/>
      <c r="I261" s="75"/>
      <c r="J261" s="75"/>
      <c r="K261" s="75"/>
      <c r="L261" s="75"/>
      <c r="M261" s="75"/>
      <c r="N261" s="75"/>
      <c r="O261" s="76"/>
    </row>
    <row r="262" spans="1:15" s="5" customFormat="1" ht="12.4" customHeight="1" x14ac:dyDescent="0.25">
      <c r="A262" s="1261" t="s">
        <v>1719</v>
      </c>
      <c r="B262" s="1257"/>
      <c r="C262" s="1269" t="s">
        <v>1749</v>
      </c>
      <c r="D262" s="1258"/>
      <c r="E262" s="389">
        <v>530000</v>
      </c>
      <c r="F262" s="109"/>
      <c r="G262" s="109"/>
      <c r="H262" s="109"/>
      <c r="I262" s="109"/>
      <c r="J262" s="109"/>
      <c r="K262" s="109"/>
      <c r="L262" s="171">
        <f t="shared" ref="L262:L271" si="54">SUM(G262:K262)</f>
        <v>0</v>
      </c>
      <c r="M262" s="171">
        <f t="shared" ref="M262:M271" si="55">IF(F262=0,E262+L262,F262+L262)</f>
        <v>530000</v>
      </c>
      <c r="N262" s="109">
        <v>535000</v>
      </c>
      <c r="O262" s="110">
        <v>540000</v>
      </c>
    </row>
    <row r="263" spans="1:15" s="5" customFormat="1" ht="12.4" customHeight="1" x14ac:dyDescent="0.25">
      <c r="A263" s="1261"/>
      <c r="B263" s="1257"/>
      <c r="C263" s="1272" t="s">
        <v>1720</v>
      </c>
      <c r="D263" s="1258"/>
      <c r="E263" s="389">
        <v>1461</v>
      </c>
      <c r="F263" s="109"/>
      <c r="G263" s="109"/>
      <c r="H263" s="109"/>
      <c r="I263" s="109"/>
      <c r="J263" s="109"/>
      <c r="K263" s="109"/>
      <c r="L263" s="171">
        <f t="shared" si="54"/>
        <v>0</v>
      </c>
      <c r="M263" s="171">
        <f t="shared" si="55"/>
        <v>1461</v>
      </c>
      <c r="N263" s="109">
        <v>1480</v>
      </c>
      <c r="O263" s="110">
        <v>1550</v>
      </c>
    </row>
    <row r="264" spans="1:15" s="5" customFormat="1" ht="12.4" customHeight="1" x14ac:dyDescent="0.25">
      <c r="A264" s="1261"/>
      <c r="B264" s="1257"/>
      <c r="C264" s="1256" t="s">
        <v>1750</v>
      </c>
      <c r="D264" s="1258"/>
      <c r="E264" s="389"/>
      <c r="F264" s="109"/>
      <c r="G264" s="109"/>
      <c r="H264" s="109"/>
      <c r="I264" s="109"/>
      <c r="J264" s="109"/>
      <c r="K264" s="109"/>
      <c r="L264" s="171">
        <f t="shared" si="54"/>
        <v>0</v>
      </c>
      <c r="M264" s="171">
        <f t="shared" si="55"/>
        <v>0</v>
      </c>
      <c r="N264" s="109"/>
      <c r="O264" s="110"/>
    </row>
    <row r="265" spans="1:15" s="5" customFormat="1" ht="12.4" customHeight="1" x14ac:dyDescent="0.25">
      <c r="A265" s="1261"/>
      <c r="B265" s="1257"/>
      <c r="C265" s="1272" t="s">
        <v>1720</v>
      </c>
      <c r="D265" s="1258"/>
      <c r="E265" s="389"/>
      <c r="F265" s="109"/>
      <c r="G265" s="109"/>
      <c r="H265" s="109"/>
      <c r="I265" s="109"/>
      <c r="J265" s="109"/>
      <c r="K265" s="109"/>
      <c r="L265" s="171">
        <f t="shared" si="54"/>
        <v>0</v>
      </c>
      <c r="M265" s="171">
        <f t="shared" si="55"/>
        <v>0</v>
      </c>
      <c r="N265" s="109"/>
      <c r="O265" s="110"/>
    </row>
    <row r="266" spans="1:15" s="5" customFormat="1" ht="12.4" customHeight="1" x14ac:dyDescent="0.25">
      <c r="A266" s="1261"/>
      <c r="B266" s="1257"/>
      <c r="C266" s="1256" t="s">
        <v>1753</v>
      </c>
      <c r="D266" s="1258"/>
      <c r="E266" s="389"/>
      <c r="F266" s="109"/>
      <c r="G266" s="109"/>
      <c r="H266" s="109"/>
      <c r="I266" s="109"/>
      <c r="J266" s="109"/>
      <c r="K266" s="109"/>
      <c r="L266" s="171">
        <f>SUM(G266:K266)</f>
        <v>0</v>
      </c>
      <c r="M266" s="171">
        <f t="shared" si="55"/>
        <v>0</v>
      </c>
      <c r="N266" s="109"/>
      <c r="O266" s="110"/>
    </row>
    <row r="267" spans="1:15" s="5" customFormat="1" ht="12.4" customHeight="1" x14ac:dyDescent="0.25">
      <c r="A267" s="1261"/>
      <c r="B267" s="1257"/>
      <c r="C267" s="1272" t="s">
        <v>1720</v>
      </c>
      <c r="D267" s="1258"/>
      <c r="E267" s="389"/>
      <c r="F267" s="109"/>
      <c r="G267" s="109"/>
      <c r="H267" s="109"/>
      <c r="I267" s="109"/>
      <c r="J267" s="109"/>
      <c r="K267" s="109"/>
      <c r="L267" s="171">
        <f t="shared" si="54"/>
        <v>0</v>
      </c>
      <c r="M267" s="171">
        <f t="shared" si="55"/>
        <v>0</v>
      </c>
      <c r="N267" s="109"/>
      <c r="O267" s="110"/>
    </row>
    <row r="268" spans="1:15" s="5" customFormat="1" ht="12.4" customHeight="1" x14ac:dyDescent="0.25">
      <c r="A268" s="1261"/>
      <c r="B268" s="1257"/>
      <c r="C268" s="1256" t="s">
        <v>1751</v>
      </c>
      <c r="D268" s="1258"/>
      <c r="E268" s="389"/>
      <c r="F268" s="109"/>
      <c r="G268" s="109"/>
      <c r="H268" s="109"/>
      <c r="I268" s="109"/>
      <c r="J268" s="109"/>
      <c r="K268" s="109"/>
      <c r="L268" s="171">
        <f t="shared" si="54"/>
        <v>0</v>
      </c>
      <c r="M268" s="171">
        <f t="shared" si="55"/>
        <v>0</v>
      </c>
      <c r="N268" s="109"/>
      <c r="O268" s="110"/>
    </row>
    <row r="269" spans="1:15" s="5" customFormat="1" ht="12.4" customHeight="1" x14ac:dyDescent="0.25">
      <c r="A269" s="1261"/>
      <c r="B269" s="1257"/>
      <c r="C269" s="1272" t="s">
        <v>1720</v>
      </c>
      <c r="D269" s="1258"/>
      <c r="E269" s="389"/>
      <c r="F269" s="109"/>
      <c r="G269" s="109"/>
      <c r="H269" s="109"/>
      <c r="I269" s="109"/>
      <c r="J269" s="109"/>
      <c r="K269" s="109"/>
      <c r="L269" s="171">
        <f t="shared" si="54"/>
        <v>0</v>
      </c>
      <c r="M269" s="171">
        <f t="shared" si="55"/>
        <v>0</v>
      </c>
      <c r="N269" s="109"/>
      <c r="O269" s="110"/>
    </row>
    <row r="270" spans="1:15" s="5" customFormat="1" ht="12.4" customHeight="1" x14ac:dyDescent="0.25">
      <c r="A270" s="1261"/>
      <c r="B270" s="1257"/>
      <c r="C270" s="1256" t="s">
        <v>1752</v>
      </c>
      <c r="D270" s="1258"/>
      <c r="E270" s="389"/>
      <c r="F270" s="109"/>
      <c r="G270" s="109"/>
      <c r="H270" s="109"/>
      <c r="I270" s="109"/>
      <c r="J270" s="109"/>
      <c r="K270" s="109"/>
      <c r="L270" s="171">
        <f t="shared" si="54"/>
        <v>0</v>
      </c>
      <c r="M270" s="171">
        <f t="shared" si="55"/>
        <v>0</v>
      </c>
      <c r="N270" s="109"/>
      <c r="O270" s="110"/>
    </row>
    <row r="271" spans="1:15" s="5" customFormat="1" ht="12.4" customHeight="1" x14ac:dyDescent="0.25">
      <c r="A271" s="1261"/>
      <c r="B271" s="1257"/>
      <c r="C271" s="1273" t="s">
        <v>1720</v>
      </c>
      <c r="D271" s="1259"/>
      <c r="E271" s="389"/>
      <c r="F271" s="109"/>
      <c r="G271" s="109"/>
      <c r="H271" s="109"/>
      <c r="I271" s="109"/>
      <c r="J271" s="109"/>
      <c r="K271" s="109"/>
      <c r="L271" s="171">
        <f t="shared" si="54"/>
        <v>0</v>
      </c>
      <c r="M271" s="171">
        <f t="shared" si="55"/>
        <v>0</v>
      </c>
      <c r="N271" s="109"/>
      <c r="O271" s="110"/>
    </row>
    <row r="272" spans="1:15" s="5" customFormat="1" ht="12.4" customHeight="1" x14ac:dyDescent="0.25">
      <c r="A272" s="1277"/>
      <c r="B272" s="1274"/>
      <c r="C272" s="1271" t="s">
        <v>1722</v>
      </c>
      <c r="D272" s="1260"/>
      <c r="E272" s="1296">
        <f>E264+E266+E268+E270</f>
        <v>0</v>
      </c>
      <c r="F272" s="1295">
        <f t="shared" ref="F272:M272" si="56">F264+F266+F268+F270</f>
        <v>0</v>
      </c>
      <c r="G272" s="1278">
        <f t="shared" si="56"/>
        <v>0</v>
      </c>
      <c r="H272" s="1297">
        <f t="shared" si="56"/>
        <v>0</v>
      </c>
      <c r="I272" s="1295">
        <f t="shared" si="56"/>
        <v>0</v>
      </c>
      <c r="J272" s="1298">
        <f t="shared" si="56"/>
        <v>0</v>
      </c>
      <c r="K272" s="1296">
        <f t="shared" si="56"/>
        <v>0</v>
      </c>
      <c r="L272" s="1295">
        <f t="shared" si="56"/>
        <v>0</v>
      </c>
      <c r="M272" s="1298">
        <f t="shared" si="56"/>
        <v>0</v>
      </c>
      <c r="N272" s="1295">
        <f>N264+N266+N268+N270</f>
        <v>0</v>
      </c>
      <c r="O272" s="1278">
        <f>O264+O266+O268+O270</f>
        <v>0</v>
      </c>
    </row>
    <row r="273" spans="1:15" s="5" customFormat="1" ht="12.4" customHeight="1" x14ac:dyDescent="0.25">
      <c r="A273" s="1270" t="s">
        <v>1094</v>
      </c>
      <c r="B273" s="1276" t="s">
        <v>1361</v>
      </c>
      <c r="C273" s="1275" t="s">
        <v>1718</v>
      </c>
      <c r="D273" s="1268"/>
      <c r="E273" s="240"/>
      <c r="F273" s="75"/>
      <c r="G273" s="75"/>
      <c r="H273" s="75"/>
      <c r="I273" s="75"/>
      <c r="J273" s="75"/>
      <c r="K273" s="75"/>
      <c r="L273" s="75"/>
      <c r="M273" s="75"/>
      <c r="N273" s="75"/>
      <c r="O273" s="76"/>
    </row>
    <row r="274" spans="1:15" s="5" customFormat="1" ht="12.4" customHeight="1" x14ac:dyDescent="0.25">
      <c r="A274" s="1261" t="s">
        <v>1719</v>
      </c>
      <c r="B274" s="1257"/>
      <c r="C274" s="1269" t="s">
        <v>1754</v>
      </c>
      <c r="D274" s="1258"/>
      <c r="E274" s="389">
        <v>185000</v>
      </c>
      <c r="F274" s="109"/>
      <c r="G274" s="109"/>
      <c r="H274" s="109"/>
      <c r="I274" s="109"/>
      <c r="J274" s="109"/>
      <c r="K274" s="109"/>
      <c r="L274" s="171">
        <f t="shared" ref="L274:L283" si="57">SUM(G274:K274)</f>
        <v>0</v>
      </c>
      <c r="M274" s="171">
        <f t="shared" ref="M274:M283" si="58">IF(F274=0,E274+L274,F274+L274)</f>
        <v>185000</v>
      </c>
      <c r="N274" s="109">
        <v>210000</v>
      </c>
      <c r="O274" s="110">
        <v>260000</v>
      </c>
    </row>
    <row r="275" spans="1:15" s="5" customFormat="1" ht="12.4" customHeight="1" x14ac:dyDescent="0.25">
      <c r="A275" s="1261"/>
      <c r="B275" s="1257"/>
      <c r="C275" s="1272" t="s">
        <v>1720</v>
      </c>
      <c r="D275" s="1258"/>
      <c r="E275" s="389">
        <v>1461</v>
      </c>
      <c r="F275" s="109"/>
      <c r="G275" s="109"/>
      <c r="H275" s="109"/>
      <c r="I275" s="109"/>
      <c r="J275" s="109"/>
      <c r="K275" s="109"/>
      <c r="L275" s="171">
        <f t="shared" si="57"/>
        <v>0</v>
      </c>
      <c r="M275" s="171">
        <f t="shared" si="58"/>
        <v>1461</v>
      </c>
      <c r="N275" s="109">
        <v>1480</v>
      </c>
      <c r="O275" s="110">
        <v>1550</v>
      </c>
    </row>
    <row r="276" spans="1:15" s="5" customFormat="1" ht="12.4" customHeight="1" x14ac:dyDescent="0.25">
      <c r="A276" s="1261"/>
      <c r="B276" s="1257"/>
      <c r="C276" s="1256" t="s">
        <v>1750</v>
      </c>
      <c r="D276" s="1258"/>
      <c r="E276" s="389"/>
      <c r="F276" s="109"/>
      <c r="G276" s="109"/>
      <c r="H276" s="109"/>
      <c r="I276" s="109"/>
      <c r="J276" s="109"/>
      <c r="K276" s="109"/>
      <c r="L276" s="171">
        <f t="shared" si="57"/>
        <v>0</v>
      </c>
      <c r="M276" s="171">
        <f t="shared" si="58"/>
        <v>0</v>
      </c>
      <c r="N276" s="109"/>
      <c r="O276" s="110"/>
    </row>
    <row r="277" spans="1:15" s="5" customFormat="1" ht="12.4" customHeight="1" x14ac:dyDescent="0.25">
      <c r="A277" s="1261"/>
      <c r="B277" s="1257"/>
      <c r="C277" s="1272" t="s">
        <v>1720</v>
      </c>
      <c r="D277" s="1258"/>
      <c r="E277" s="389"/>
      <c r="F277" s="109"/>
      <c r="G277" s="109"/>
      <c r="H277" s="109"/>
      <c r="I277" s="109"/>
      <c r="J277" s="109"/>
      <c r="K277" s="109"/>
      <c r="L277" s="171">
        <f t="shared" si="57"/>
        <v>0</v>
      </c>
      <c r="M277" s="171">
        <f t="shared" si="58"/>
        <v>0</v>
      </c>
      <c r="N277" s="109"/>
      <c r="O277" s="110"/>
    </row>
    <row r="278" spans="1:15" s="5" customFormat="1" ht="12.4" customHeight="1" x14ac:dyDescent="0.25">
      <c r="A278" s="1261"/>
      <c r="B278" s="1257"/>
      <c r="C278" s="1256" t="s">
        <v>1753</v>
      </c>
      <c r="D278" s="1258"/>
      <c r="E278" s="389"/>
      <c r="F278" s="109"/>
      <c r="G278" s="109"/>
      <c r="H278" s="109"/>
      <c r="I278" s="109"/>
      <c r="J278" s="109"/>
      <c r="K278" s="109"/>
      <c r="L278" s="171">
        <f t="shared" si="57"/>
        <v>0</v>
      </c>
      <c r="M278" s="171">
        <f t="shared" si="58"/>
        <v>0</v>
      </c>
      <c r="N278" s="109"/>
      <c r="O278" s="110"/>
    </row>
    <row r="279" spans="1:15" s="5" customFormat="1" ht="12.4" customHeight="1" x14ac:dyDescent="0.25">
      <c r="A279" s="1261"/>
      <c r="B279" s="1257"/>
      <c r="C279" s="1272" t="s">
        <v>1720</v>
      </c>
      <c r="D279" s="1258"/>
      <c r="E279" s="389"/>
      <c r="F279" s="109"/>
      <c r="G279" s="109"/>
      <c r="H279" s="109"/>
      <c r="I279" s="109"/>
      <c r="J279" s="109"/>
      <c r="K279" s="109"/>
      <c r="L279" s="171">
        <f t="shared" si="57"/>
        <v>0</v>
      </c>
      <c r="M279" s="171">
        <f t="shared" si="58"/>
        <v>0</v>
      </c>
      <c r="N279" s="109"/>
      <c r="O279" s="110"/>
    </row>
    <row r="280" spans="1:15" s="5" customFormat="1" ht="12.4" customHeight="1" x14ac:dyDescent="0.25">
      <c r="A280" s="1261"/>
      <c r="B280" s="1257"/>
      <c r="C280" s="1256" t="s">
        <v>1751</v>
      </c>
      <c r="D280" s="1258"/>
      <c r="E280" s="389"/>
      <c r="F280" s="109"/>
      <c r="G280" s="109"/>
      <c r="H280" s="109"/>
      <c r="I280" s="109"/>
      <c r="J280" s="109"/>
      <c r="K280" s="109"/>
      <c r="L280" s="171">
        <f t="shared" si="57"/>
        <v>0</v>
      </c>
      <c r="M280" s="171">
        <f t="shared" si="58"/>
        <v>0</v>
      </c>
      <c r="N280" s="109"/>
      <c r="O280" s="110"/>
    </row>
    <row r="281" spans="1:15" s="5" customFormat="1" ht="12.4" customHeight="1" x14ac:dyDescent="0.25">
      <c r="A281" s="1261"/>
      <c r="B281" s="1257"/>
      <c r="C281" s="1272" t="s">
        <v>1720</v>
      </c>
      <c r="D281" s="1258"/>
      <c r="E281" s="389"/>
      <c r="F281" s="109"/>
      <c r="G281" s="109"/>
      <c r="H281" s="109"/>
      <c r="I281" s="109"/>
      <c r="J281" s="109"/>
      <c r="K281" s="109"/>
      <c r="L281" s="171">
        <f t="shared" si="57"/>
        <v>0</v>
      </c>
      <c r="M281" s="171">
        <f t="shared" si="58"/>
        <v>0</v>
      </c>
      <c r="N281" s="109"/>
      <c r="O281" s="110"/>
    </row>
    <row r="282" spans="1:15" s="5" customFormat="1" ht="12.4" customHeight="1" x14ac:dyDescent="0.25">
      <c r="A282" s="1261"/>
      <c r="B282" s="1257"/>
      <c r="C282" s="1256" t="s">
        <v>1752</v>
      </c>
      <c r="D282" s="1258"/>
      <c r="E282" s="389"/>
      <c r="F282" s="109"/>
      <c r="G282" s="109"/>
      <c r="H282" s="109"/>
      <c r="I282" s="109"/>
      <c r="J282" s="109"/>
      <c r="K282" s="109"/>
      <c r="L282" s="171">
        <f t="shared" si="57"/>
        <v>0</v>
      </c>
      <c r="M282" s="171">
        <f t="shared" si="58"/>
        <v>0</v>
      </c>
      <c r="N282" s="109"/>
      <c r="O282" s="110"/>
    </row>
    <row r="283" spans="1:15" s="5" customFormat="1" ht="12.4" customHeight="1" x14ac:dyDescent="0.25">
      <c r="A283" s="1261"/>
      <c r="B283" s="1257"/>
      <c r="C283" s="1273" t="s">
        <v>1720</v>
      </c>
      <c r="D283" s="1259"/>
      <c r="E283" s="389"/>
      <c r="F283" s="109"/>
      <c r="G283" s="109"/>
      <c r="H283" s="109"/>
      <c r="I283" s="109"/>
      <c r="J283" s="109"/>
      <c r="K283" s="109"/>
      <c r="L283" s="171">
        <f t="shared" si="57"/>
        <v>0</v>
      </c>
      <c r="M283" s="171">
        <f t="shared" si="58"/>
        <v>0</v>
      </c>
      <c r="N283" s="109"/>
      <c r="O283" s="110"/>
    </row>
    <row r="284" spans="1:15" s="5" customFormat="1" ht="12.4" customHeight="1" x14ac:dyDescent="0.25">
      <c r="A284" s="1277"/>
      <c r="B284" s="1274"/>
      <c r="C284" s="1271" t="s">
        <v>1723</v>
      </c>
      <c r="D284" s="1260"/>
      <c r="E284" s="1296">
        <f>E276+E278+E280+E282</f>
        <v>0</v>
      </c>
      <c r="F284" s="1295">
        <f t="shared" ref="F284:M284" si="59">F276+F278+F280+F282</f>
        <v>0</v>
      </c>
      <c r="G284" s="1278">
        <f t="shared" si="59"/>
        <v>0</v>
      </c>
      <c r="H284" s="1297">
        <f t="shared" si="59"/>
        <v>0</v>
      </c>
      <c r="I284" s="1295">
        <f t="shared" si="59"/>
        <v>0</v>
      </c>
      <c r="J284" s="1298">
        <f t="shared" si="59"/>
        <v>0</v>
      </c>
      <c r="K284" s="1296">
        <f t="shared" si="59"/>
        <v>0</v>
      </c>
      <c r="L284" s="1295">
        <f t="shared" si="59"/>
        <v>0</v>
      </c>
      <c r="M284" s="1298">
        <f t="shared" si="59"/>
        <v>0</v>
      </c>
      <c r="N284" s="1295">
        <f>N276+N278+N280+N282</f>
        <v>0</v>
      </c>
      <c r="O284" s="1278">
        <f>O276+O278+O280+O282</f>
        <v>0</v>
      </c>
    </row>
    <row r="285" spans="1:15" s="5" customFormat="1" ht="12.4" customHeight="1" x14ac:dyDescent="0.25">
      <c r="A285" s="1270" t="s">
        <v>1724</v>
      </c>
      <c r="B285" s="1276" t="s">
        <v>1361</v>
      </c>
      <c r="C285" s="1275" t="s">
        <v>1718</v>
      </c>
      <c r="D285" s="1268"/>
      <c r="E285" s="240"/>
      <c r="F285" s="75"/>
      <c r="G285" s="75"/>
      <c r="H285" s="75"/>
      <c r="I285" s="75"/>
      <c r="J285" s="75"/>
      <c r="K285" s="75"/>
      <c r="L285" s="75"/>
      <c r="M285" s="75"/>
      <c r="N285" s="75"/>
      <c r="O285" s="76"/>
    </row>
    <row r="286" spans="1:15" s="5" customFormat="1" ht="12.4" customHeight="1" x14ac:dyDescent="0.25">
      <c r="A286" s="1261" t="s">
        <v>1719</v>
      </c>
      <c r="B286" s="1257"/>
      <c r="C286" s="1269" t="s">
        <v>1755</v>
      </c>
      <c r="D286" s="1258"/>
      <c r="E286" s="389">
        <v>1568000</v>
      </c>
      <c r="F286" s="109"/>
      <c r="G286" s="109"/>
      <c r="H286" s="109"/>
      <c r="I286" s="109"/>
      <c r="J286" s="109"/>
      <c r="K286" s="109"/>
      <c r="L286" s="171">
        <f t="shared" ref="L286:L295" si="60">SUM(G286:K286)</f>
        <v>0</v>
      </c>
      <c r="M286" s="171">
        <f t="shared" ref="M286:M295" si="61">IF(F286=0,E286+L286,F286+L286)</f>
        <v>1568000</v>
      </c>
      <c r="N286" s="109">
        <v>1580000</v>
      </c>
      <c r="O286" s="110">
        <v>1600000</v>
      </c>
    </row>
    <row r="287" spans="1:15" s="5" customFormat="1" ht="12.4" customHeight="1" x14ac:dyDescent="0.25">
      <c r="A287" s="1261"/>
      <c r="B287" s="1257"/>
      <c r="C287" s="1272" t="s">
        <v>1720</v>
      </c>
      <c r="D287" s="1258"/>
      <c r="E287" s="389">
        <v>1218</v>
      </c>
      <c r="F287" s="109"/>
      <c r="G287" s="109"/>
      <c r="H287" s="109"/>
      <c r="I287" s="109"/>
      <c r="J287" s="109"/>
      <c r="K287" s="109"/>
      <c r="L287" s="171">
        <f t="shared" si="60"/>
        <v>0</v>
      </c>
      <c r="M287" s="171">
        <f t="shared" si="61"/>
        <v>1218</v>
      </c>
      <c r="N287" s="109">
        <v>1230</v>
      </c>
      <c r="O287" s="110">
        <v>1250</v>
      </c>
    </row>
    <row r="288" spans="1:15" s="5" customFormat="1" ht="12.4" customHeight="1" x14ac:dyDescent="0.25">
      <c r="A288" s="1261"/>
      <c r="B288" s="1257"/>
      <c r="C288" s="1256" t="s">
        <v>1750</v>
      </c>
      <c r="D288" s="1258"/>
      <c r="E288" s="389"/>
      <c r="F288" s="109"/>
      <c r="G288" s="109"/>
      <c r="H288" s="109"/>
      <c r="I288" s="109"/>
      <c r="J288" s="109"/>
      <c r="K288" s="109"/>
      <c r="L288" s="171">
        <f t="shared" si="60"/>
        <v>0</v>
      </c>
      <c r="M288" s="171">
        <f t="shared" si="61"/>
        <v>0</v>
      </c>
      <c r="N288" s="109"/>
      <c r="O288" s="110"/>
    </row>
    <row r="289" spans="1:15" s="5" customFormat="1" ht="12.4" customHeight="1" x14ac:dyDescent="0.25">
      <c r="A289" s="1261"/>
      <c r="B289" s="1257"/>
      <c r="C289" s="1272" t="s">
        <v>1720</v>
      </c>
      <c r="D289" s="1258"/>
      <c r="E289" s="389"/>
      <c r="F289" s="109"/>
      <c r="G289" s="109"/>
      <c r="H289" s="109"/>
      <c r="I289" s="109"/>
      <c r="J289" s="109"/>
      <c r="K289" s="109"/>
      <c r="L289" s="171">
        <f t="shared" si="60"/>
        <v>0</v>
      </c>
      <c r="M289" s="171">
        <f t="shared" si="61"/>
        <v>0</v>
      </c>
      <c r="N289" s="109"/>
      <c r="O289" s="110"/>
    </row>
    <row r="290" spans="1:15" s="5" customFormat="1" ht="12.4" customHeight="1" x14ac:dyDescent="0.25">
      <c r="A290" s="1261"/>
      <c r="B290" s="1257"/>
      <c r="C290" s="1256" t="s">
        <v>1753</v>
      </c>
      <c r="D290" s="1258"/>
      <c r="E290" s="389"/>
      <c r="F290" s="109"/>
      <c r="G290" s="109"/>
      <c r="H290" s="109"/>
      <c r="I290" s="109"/>
      <c r="J290" s="109"/>
      <c r="K290" s="109"/>
      <c r="L290" s="171">
        <f t="shared" si="60"/>
        <v>0</v>
      </c>
      <c r="M290" s="171">
        <f t="shared" si="61"/>
        <v>0</v>
      </c>
      <c r="N290" s="109"/>
      <c r="O290" s="110"/>
    </row>
    <row r="291" spans="1:15" s="5" customFormat="1" ht="12.4" customHeight="1" x14ac:dyDescent="0.25">
      <c r="A291" s="1261"/>
      <c r="B291" s="1257"/>
      <c r="C291" s="1272" t="s">
        <v>1720</v>
      </c>
      <c r="D291" s="1258"/>
      <c r="E291" s="389"/>
      <c r="F291" s="109"/>
      <c r="G291" s="109"/>
      <c r="H291" s="109"/>
      <c r="I291" s="109"/>
      <c r="J291" s="109"/>
      <c r="K291" s="109"/>
      <c r="L291" s="171">
        <f t="shared" si="60"/>
        <v>0</v>
      </c>
      <c r="M291" s="171">
        <f t="shared" si="61"/>
        <v>0</v>
      </c>
      <c r="N291" s="109"/>
      <c r="O291" s="110"/>
    </row>
    <row r="292" spans="1:15" s="5" customFormat="1" ht="12.4" customHeight="1" x14ac:dyDescent="0.25">
      <c r="A292" s="1261"/>
      <c r="B292" s="1257"/>
      <c r="C292" s="1256" t="s">
        <v>1751</v>
      </c>
      <c r="D292" s="1258"/>
      <c r="E292" s="389"/>
      <c r="F292" s="109"/>
      <c r="G292" s="109"/>
      <c r="H292" s="109"/>
      <c r="I292" s="109"/>
      <c r="J292" s="109"/>
      <c r="K292" s="109"/>
      <c r="L292" s="171">
        <f t="shared" si="60"/>
        <v>0</v>
      </c>
      <c r="M292" s="171">
        <f t="shared" si="61"/>
        <v>0</v>
      </c>
      <c r="N292" s="109"/>
      <c r="O292" s="110"/>
    </row>
    <row r="293" spans="1:15" s="5" customFormat="1" ht="12.4" customHeight="1" x14ac:dyDescent="0.25">
      <c r="A293" s="1261"/>
      <c r="B293" s="1257"/>
      <c r="C293" s="1272" t="s">
        <v>1720</v>
      </c>
      <c r="D293" s="1258"/>
      <c r="E293" s="389"/>
      <c r="F293" s="109"/>
      <c r="G293" s="109"/>
      <c r="H293" s="109"/>
      <c r="I293" s="109"/>
      <c r="J293" s="109"/>
      <c r="K293" s="109"/>
      <c r="L293" s="171">
        <f t="shared" si="60"/>
        <v>0</v>
      </c>
      <c r="M293" s="171">
        <f t="shared" si="61"/>
        <v>0</v>
      </c>
      <c r="N293" s="109"/>
      <c r="O293" s="110"/>
    </row>
    <row r="294" spans="1:15" s="5" customFormat="1" ht="12.4" customHeight="1" x14ac:dyDescent="0.25">
      <c r="A294" s="1261"/>
      <c r="B294" s="1257"/>
      <c r="C294" s="1256" t="s">
        <v>1752</v>
      </c>
      <c r="D294" s="1258"/>
      <c r="E294" s="389"/>
      <c r="F294" s="109"/>
      <c r="G294" s="109"/>
      <c r="H294" s="109"/>
      <c r="I294" s="109"/>
      <c r="J294" s="109"/>
      <c r="K294" s="109"/>
      <c r="L294" s="171">
        <f t="shared" si="60"/>
        <v>0</v>
      </c>
      <c r="M294" s="171">
        <f t="shared" si="61"/>
        <v>0</v>
      </c>
      <c r="N294" s="109"/>
      <c r="O294" s="110"/>
    </row>
    <row r="295" spans="1:15" s="5" customFormat="1" ht="12.4" customHeight="1" x14ac:dyDescent="0.25">
      <c r="A295" s="1261"/>
      <c r="B295" s="1257"/>
      <c r="C295" s="1273" t="s">
        <v>1720</v>
      </c>
      <c r="D295" s="1259"/>
      <c r="E295" s="389"/>
      <c r="F295" s="109"/>
      <c r="G295" s="109"/>
      <c r="H295" s="109"/>
      <c r="I295" s="109"/>
      <c r="J295" s="109"/>
      <c r="K295" s="109"/>
      <c r="L295" s="171">
        <f t="shared" si="60"/>
        <v>0</v>
      </c>
      <c r="M295" s="171">
        <f t="shared" si="61"/>
        <v>0</v>
      </c>
      <c r="N295" s="109"/>
      <c r="O295" s="110"/>
    </row>
    <row r="296" spans="1:15" s="5" customFormat="1" ht="12.4" customHeight="1" x14ac:dyDescent="0.25">
      <c r="A296" s="1277"/>
      <c r="B296" s="1274"/>
      <c r="C296" s="1271" t="s">
        <v>1725</v>
      </c>
      <c r="D296" s="1260"/>
      <c r="E296" s="1296">
        <f>E288+E290+E292+E294</f>
        <v>0</v>
      </c>
      <c r="F296" s="1295">
        <f t="shared" ref="F296:M296" si="62">F288+F290+F292+F294</f>
        <v>0</v>
      </c>
      <c r="G296" s="1278">
        <f t="shared" si="62"/>
        <v>0</v>
      </c>
      <c r="H296" s="1297">
        <f t="shared" si="62"/>
        <v>0</v>
      </c>
      <c r="I296" s="1295">
        <f t="shared" si="62"/>
        <v>0</v>
      </c>
      <c r="J296" s="1298">
        <f t="shared" si="62"/>
        <v>0</v>
      </c>
      <c r="K296" s="1296">
        <f t="shared" si="62"/>
        <v>0</v>
      </c>
      <c r="L296" s="1295">
        <f t="shared" si="62"/>
        <v>0</v>
      </c>
      <c r="M296" s="1298">
        <f t="shared" si="62"/>
        <v>0</v>
      </c>
      <c r="N296" s="1295">
        <f>N288+N290+N292+N294</f>
        <v>0</v>
      </c>
      <c r="O296" s="1278">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1369</v>
      </c>
    </row>
    <row r="300" spans="1:15" ht="11.25" customHeight="1" x14ac:dyDescent="0.25">
      <c r="A300" s="287" t="s">
        <v>1370</v>
      </c>
    </row>
    <row r="301" spans="1:15" ht="11.25" customHeight="1" x14ac:dyDescent="0.25">
      <c r="A301" s="287" t="s">
        <v>1371</v>
      </c>
    </row>
    <row r="302" spans="1:15" ht="11.25" customHeight="1" x14ac:dyDescent="0.25">
      <c r="A302" s="287" t="s">
        <v>1372</v>
      </c>
    </row>
    <row r="303" spans="1:15" ht="11.25" customHeight="1" x14ac:dyDescent="0.25">
      <c r="A303" s="287" t="s">
        <v>1373</v>
      </c>
    </row>
    <row r="304" spans="1:15" ht="11.25" customHeight="1" x14ac:dyDescent="0.25">
      <c r="A304" s="285" t="s">
        <v>1374</v>
      </c>
      <c r="B304" s="844"/>
      <c r="F304" s="453"/>
      <c r="G304" s="453"/>
      <c r="H304" s="453"/>
      <c r="I304" s="453"/>
      <c r="J304" s="453"/>
      <c r="K304" s="453"/>
    </row>
    <row r="305" spans="1:11" ht="11.25" customHeight="1" x14ac:dyDescent="0.25">
      <c r="A305" s="285" t="s">
        <v>1375</v>
      </c>
      <c r="F305" s="453"/>
      <c r="G305" s="453"/>
      <c r="H305" s="453"/>
      <c r="I305" s="453"/>
      <c r="J305" s="453"/>
      <c r="K305" s="453"/>
    </row>
    <row r="306" spans="1:11" ht="11.25" customHeight="1" x14ac:dyDescent="0.25">
      <c r="A306" s="836" t="s">
        <v>1376</v>
      </c>
      <c r="F306" s="453"/>
      <c r="G306" s="453"/>
      <c r="H306" s="453"/>
      <c r="I306" s="453"/>
      <c r="J306" s="453"/>
      <c r="K306" s="453"/>
    </row>
    <row r="307" spans="1:11" ht="11.25" customHeight="1" x14ac:dyDescent="0.25">
      <c r="A307" s="836" t="s">
        <v>1377</v>
      </c>
      <c r="F307" s="453"/>
      <c r="G307" s="453"/>
      <c r="H307" s="453"/>
      <c r="I307" s="453"/>
      <c r="J307" s="453"/>
      <c r="K307" s="453"/>
    </row>
    <row r="308" spans="1:11" ht="11.25" customHeight="1" x14ac:dyDescent="0.25">
      <c r="A308" s="836" t="s">
        <v>1378</v>
      </c>
      <c r="F308" s="453"/>
      <c r="G308" s="453"/>
      <c r="H308" s="453"/>
      <c r="I308" s="453"/>
      <c r="J308" s="453"/>
      <c r="K308" s="453"/>
    </row>
    <row r="309" spans="1:11" ht="11.25" customHeight="1" x14ac:dyDescent="0.25">
      <c r="A309" s="836" t="s">
        <v>1379</v>
      </c>
    </row>
    <row r="310" spans="1:11" ht="11.25" customHeight="1" x14ac:dyDescent="0.25">
      <c r="A310" s="287" t="s">
        <v>1380</v>
      </c>
      <c r="F310" s="454"/>
      <c r="G310" s="454"/>
      <c r="H310" s="454"/>
      <c r="I310" s="454"/>
      <c r="J310" s="454"/>
      <c r="K310" s="454"/>
    </row>
    <row r="311" spans="1:11" ht="11.25" customHeight="1" x14ac:dyDescent="0.25">
      <c r="A311" s="1016" t="s">
        <v>1381</v>
      </c>
      <c r="F311" s="454"/>
      <c r="G311" s="454"/>
      <c r="H311" s="454"/>
      <c r="I311" s="455"/>
      <c r="J311" s="455"/>
      <c r="K311" s="455"/>
    </row>
  </sheetData>
  <sheetProtection sheet="1" objects="1" scenarios="1"/>
  <mergeCells count="21">
    <mergeCell ref="A2:A3"/>
    <mergeCell ref="A201:A202"/>
    <mergeCell ref="C2:C3"/>
    <mergeCell ref="K201:M201"/>
    <mergeCell ref="A63:A64"/>
    <mergeCell ref="D2:D3"/>
    <mergeCell ref="H63:J63"/>
    <mergeCell ref="B2:B3"/>
    <mergeCell ref="A109:A110"/>
    <mergeCell ref="F2:F3"/>
    <mergeCell ref="E2:E3"/>
    <mergeCell ref="K155:M155"/>
    <mergeCell ref="K2:M2"/>
    <mergeCell ref="K63:M63"/>
    <mergeCell ref="H201:J201"/>
    <mergeCell ref="H109:J109"/>
    <mergeCell ref="A247:A248"/>
    <mergeCell ref="E247:M247"/>
    <mergeCell ref="A155:A156"/>
    <mergeCell ref="K109:M109"/>
    <mergeCell ref="H155:J155"/>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13" activePane="bottomRight" state="frozen"/>
      <selection activeCell="C6" sqref="C6"/>
      <selection pane="topRight" activeCell="C6" sqref="C6"/>
      <selection pane="bottomLeft" activeCell="C6" sqref="C6"/>
      <selection pane="bottomRight" activeCell="F10" sqref="F10"/>
    </sheetView>
  </sheetViews>
  <sheetFormatPr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LIM333 Greater Tzaneen - Supporting Table SB6 Adjustments Budget - funding measurement - 27/02/2019</v>
      </c>
      <c r="C1" s="5"/>
      <c r="D1" s="5"/>
      <c r="E1" s="5"/>
    </row>
    <row r="2" spans="1:11" x14ac:dyDescent="0.25">
      <c r="A2" s="59" t="str">
        <f>desc</f>
        <v>Description</v>
      </c>
      <c r="B2" s="1435" t="str">
        <f>head27</f>
        <v>Ref</v>
      </c>
      <c r="C2" s="1435" t="s">
        <v>106</v>
      </c>
      <c r="D2" s="456" t="str">
        <f>Head1B</f>
        <v>2015/16</v>
      </c>
      <c r="E2" s="326" t="str">
        <f>Head1A</f>
        <v>2016/17</v>
      </c>
      <c r="F2" s="326" t="str">
        <f>Head1</f>
        <v>2017/18</v>
      </c>
      <c r="G2" s="457" t="str">
        <f>Head3a</f>
        <v>Medium Term Revenue and Expenditure Framework</v>
      </c>
      <c r="H2" s="169"/>
      <c r="I2" s="457"/>
      <c r="J2" s="169"/>
      <c r="K2" s="170"/>
    </row>
    <row r="3" spans="1:11" ht="38.25" x14ac:dyDescent="0.25">
      <c r="A3" s="458" t="s">
        <v>605</v>
      </c>
      <c r="B3" s="1441"/>
      <c r="C3" s="1441"/>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2019/20</v>
      </c>
      <c r="K3" s="329" t="str">
        <f>Head11</f>
        <v>Budget Year +2 2020/21</v>
      </c>
    </row>
    <row r="4" spans="1:11" ht="12.75" customHeight="1" x14ac:dyDescent="0.25">
      <c r="A4" s="126" t="s">
        <v>107</v>
      </c>
      <c r="B4" s="460"/>
      <c r="C4" s="460"/>
      <c r="D4" s="461"/>
      <c r="E4" s="462"/>
      <c r="F4" s="462"/>
      <c r="G4" s="462"/>
      <c r="H4" s="463"/>
      <c r="I4" s="462"/>
      <c r="J4" s="463"/>
      <c r="K4" s="464"/>
    </row>
    <row r="5" spans="1:11" ht="12.75" customHeight="1" x14ac:dyDescent="0.25">
      <c r="A5" s="129" t="s">
        <v>108</v>
      </c>
      <c r="B5" s="73">
        <v>1</v>
      </c>
      <c r="C5" s="73" t="s">
        <v>109</v>
      </c>
      <c r="D5" s="389">
        <v>55477361</v>
      </c>
      <c r="E5" s="109">
        <v>32550519.149999976</v>
      </c>
      <c r="F5" s="109">
        <v>8056079</v>
      </c>
      <c r="G5" s="171">
        <f>'B7-CFlow'!C42</f>
        <v>11456836.829999983</v>
      </c>
      <c r="H5" s="171">
        <f>'B7-CFlow'!D42</f>
        <v>0</v>
      </c>
      <c r="I5" s="171">
        <f>'B7-CFlow'!K42</f>
        <v>6669915.8299999796</v>
      </c>
      <c r="J5" s="465">
        <f>'B7-CFlow'!L42</f>
        <v>7585534.8383245338</v>
      </c>
      <c r="K5" s="235">
        <f>'B7-CFlow'!M42</f>
        <v>17412607.94884982</v>
      </c>
    </row>
    <row r="6" spans="1:11" ht="12.75" customHeight="1" x14ac:dyDescent="0.25">
      <c r="A6" s="129" t="s">
        <v>110</v>
      </c>
      <c r="B6" s="73">
        <v>2</v>
      </c>
      <c r="C6" s="73" t="s">
        <v>109</v>
      </c>
      <c r="D6" s="389">
        <v>196186942</v>
      </c>
      <c r="E6" s="109">
        <v>203938308</v>
      </c>
      <c r="F6" s="109">
        <v>176174054</v>
      </c>
      <c r="G6" s="171">
        <f>'B8-ResRecon'!C21</f>
        <v>161093821</v>
      </c>
      <c r="H6" s="171">
        <f>'B8-ResRecon'!D21</f>
        <v>0</v>
      </c>
      <c r="I6" s="171">
        <f>'B8-ResRecon'!K21</f>
        <v>156300518</v>
      </c>
      <c r="J6" s="465">
        <f>'B8-ResRecon'!L21</f>
        <v>162421116.83832455</v>
      </c>
      <c r="K6" s="235">
        <f>'B8-ResRecon'!M21</f>
        <v>177473949.94884983</v>
      </c>
    </row>
    <row r="7" spans="1:11" x14ac:dyDescent="0.25">
      <c r="A7" s="129" t="s">
        <v>111</v>
      </c>
      <c r="B7" s="73">
        <v>3</v>
      </c>
      <c r="C7" s="73" t="s">
        <v>109</v>
      </c>
      <c r="D7" s="389">
        <v>0.77783583722422922</v>
      </c>
      <c r="E7" s="109">
        <v>0.44510669827795546</v>
      </c>
      <c r="F7" s="109">
        <v>0.11501520673700574</v>
      </c>
      <c r="G7" s="171">
        <f>'SB4'!F39</f>
        <v>0.15087382778135555</v>
      </c>
      <c r="H7" s="171">
        <f>'SB4'!G39</f>
        <v>0</v>
      </c>
      <c r="I7" s="171">
        <f>'SB4'!H39</f>
        <v>8.7835390097945179E-2</v>
      </c>
      <c r="J7" s="465">
        <f>'SB4'!I39</f>
        <v>9.5278528259985243E-2</v>
      </c>
      <c r="K7" s="235">
        <f>'SB4'!J39</f>
        <v>0.20887021556153651</v>
      </c>
    </row>
    <row r="8" spans="1:11" ht="12.75" customHeight="1" x14ac:dyDescent="0.25">
      <c r="A8" s="129" t="s">
        <v>112</v>
      </c>
      <c r="B8" s="73">
        <v>4</v>
      </c>
      <c r="C8" s="73" t="s">
        <v>113</v>
      </c>
      <c r="D8" s="389">
        <v>-6133855.8100001812</v>
      </c>
      <c r="E8" s="109">
        <v>7799411.6099999249</v>
      </c>
      <c r="F8" s="109">
        <v>-85178109</v>
      </c>
      <c r="G8" s="171">
        <f>'B4-FinPerf RE'!C43+'SB2'!C53</f>
        <v>14316451.920000076</v>
      </c>
      <c r="H8" s="171">
        <f>'B4-FinPerf RE'!D43+'SB2'!D53</f>
        <v>0</v>
      </c>
      <c r="I8" s="171">
        <f>'B4-FinPerf RE'!K43+'SB2'!K53</f>
        <v>-7852043.0800001621</v>
      </c>
      <c r="J8" s="171">
        <f>'B4-FinPerf RE'!L43+'SB2'!L53</f>
        <v>29905773.051399708</v>
      </c>
      <c r="K8" s="235">
        <f>'B4-FinPerf RE'!M43+'SB2'!M53</f>
        <v>49427150.639226913</v>
      </c>
    </row>
    <row r="9" spans="1:11" ht="12.75" customHeight="1" x14ac:dyDescent="0.25">
      <c r="A9" s="30" t="s">
        <v>114</v>
      </c>
      <c r="B9" s="137">
        <v>5</v>
      </c>
      <c r="C9" s="137" t="s">
        <v>115</v>
      </c>
      <c r="D9" s="466">
        <v>2.8000000000000001E-2</v>
      </c>
      <c r="E9" s="334">
        <v>-4.6346273367996849E-2</v>
      </c>
      <c r="F9" s="334">
        <v>0</v>
      </c>
      <c r="G9" s="335">
        <f>IF(ISERROR(((G36/G37)-1)-G35),0,(((G36/G37)-1)-G35))</f>
        <v>0</v>
      </c>
      <c r="H9" s="335">
        <f>IF(ISERROR(((H36/H37)-1)-H35),0,(((H36/H37)-1)-H35))</f>
        <v>0</v>
      </c>
      <c r="I9" s="335">
        <f>IF(ISERROR(((I36/I37)-1)-I35),0,(((I36/I37)-1)-I35))</f>
        <v>0</v>
      </c>
      <c r="J9" s="335">
        <f>IF(ISERROR(((J36/J37)-1)-J35),0,(((J36/J37)-1)-J35))</f>
        <v>-5.00000000000006E-3</v>
      </c>
      <c r="K9" s="337">
        <f>IF(ISERROR(((K36/K37)-1)-K35),0,(((K36/K37)-1)-K35))</f>
        <v>-5.00000000000006E-3</v>
      </c>
    </row>
    <row r="10" spans="1:11" ht="12.75" customHeight="1" x14ac:dyDescent="0.25">
      <c r="A10" s="30" t="s">
        <v>116</v>
      </c>
      <c r="B10" s="137">
        <v>6</v>
      </c>
      <c r="C10" s="137" t="s">
        <v>115</v>
      </c>
      <c r="D10" s="1066">
        <f>IF(ISERROR(D40/D41),0,(D40/D41))</f>
        <v>0</v>
      </c>
      <c r="E10" s="467">
        <f t="shared" ref="E10:K10" si="0">IF(ISERROR(E40/E41),0,(E40/E41))</f>
        <v>0</v>
      </c>
      <c r="F10" s="467">
        <f t="shared" si="0"/>
        <v>0</v>
      </c>
      <c r="G10" s="467">
        <f t="shared" si="0"/>
        <v>0.97286679330787096</v>
      </c>
      <c r="H10" s="467">
        <f t="shared" si="0"/>
        <v>0</v>
      </c>
      <c r="I10" s="467">
        <f t="shared" si="0"/>
        <v>0.97284790296271606</v>
      </c>
      <c r="J10" s="467">
        <f t="shared" si="0"/>
        <v>0.97286679330787096</v>
      </c>
      <c r="K10" s="1067">
        <f t="shared" si="0"/>
        <v>0.97286679269975707</v>
      </c>
    </row>
    <row r="11" spans="1:11" ht="12.75" customHeight="1" x14ac:dyDescent="0.25">
      <c r="A11" s="30" t="s">
        <v>117</v>
      </c>
      <c r="B11" s="137">
        <v>7</v>
      </c>
      <c r="C11" s="137" t="s">
        <v>115</v>
      </c>
      <c r="D11" s="338">
        <v>0.12062562500154898</v>
      </c>
      <c r="E11" s="334">
        <v>0.10881831237144243</v>
      </c>
      <c r="F11" s="334">
        <v>0.1968</v>
      </c>
      <c r="G11" s="335">
        <f>IF(ISERROR('B4-FinPerf RE'!C28/(SUM('B4-FinPerf RE'!C7:C13))),0,('B4-FinPerf RE'!C28/(SUM('B4-FinPerf RE'!C7:C13))))</f>
        <v>4.686341116857104E-2</v>
      </c>
      <c r="H11" s="335">
        <f>IF(ISERROR('B4-FinPerf RE'!D28/(SUM('B4-FinPerf RE'!D7:D13))),0,('B4-FinPerf RE'!D28/(SUM('B4-FinPerf RE'!D7:D13))))</f>
        <v>0</v>
      </c>
      <c r="I11" s="335">
        <f>IF(ISERROR('B4-FinPerf RE'!K28/(SUM('B4-FinPerf RE'!K7:K13))),0,('B4-FinPerf RE'!K28/(SUM('B4-FinPerf RE'!K7:K13))))</f>
        <v>4.686341116857104E-2</v>
      </c>
      <c r="J11" s="336">
        <f>IF(ISERROR('B4-FinPerf RE'!L28/(SUM('B4-FinPerf RE'!L7:L13))),0,('B4-FinPerf RE'!L28/(SUM('B4-FinPerf RE'!L7:L13))))</f>
        <v>4.686341116857104E-2</v>
      </c>
      <c r="K11" s="337">
        <f>IF(ISERROR('B4-FinPerf RE'!M28/(SUM('B4-FinPerf RE'!M7:M13))),0,('B4-FinPerf RE'!M28/(SUM('B4-FinPerf RE'!M7:M13))))</f>
        <v>4.6863411168571047E-2</v>
      </c>
    </row>
    <row r="12" spans="1:11" ht="12.75" customHeight="1" x14ac:dyDescent="0.25">
      <c r="A12" s="30" t="s">
        <v>118</v>
      </c>
      <c r="B12" s="137">
        <v>8</v>
      </c>
      <c r="C12" s="137" t="s">
        <v>119</v>
      </c>
      <c r="D12" s="338">
        <v>0.99825542683574375</v>
      </c>
      <c r="E12" s="334">
        <v>1.7080848730242872</v>
      </c>
      <c r="F12" s="334">
        <v>2.5486</v>
      </c>
      <c r="G12" s="335">
        <f>IF(ISERROR(-'B7-CFlow'!C28/'B5-Capex'!C65),0,(-'B7-CFlow'!C28/'B5-Capex'!C65))</f>
        <v>1</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120</v>
      </c>
      <c r="B13" s="137">
        <v>9</v>
      </c>
      <c r="C13" s="137" t="s">
        <v>121</v>
      </c>
      <c r="D13" s="338">
        <v>2.1675014959561403</v>
      </c>
      <c r="E13" s="334">
        <v>0</v>
      </c>
      <c r="F13" s="334">
        <v>0.26600000000000001</v>
      </c>
      <c r="G13" s="335">
        <f>IF(ISERROR('SB4'!F9),0,('SB4'!F9))</f>
        <v>0.83720930232558144</v>
      </c>
      <c r="H13" s="335">
        <f>IF(ISERROR('SB4'!G9),0,('SB4'!G9))</f>
        <v>0</v>
      </c>
      <c r="I13" s="335">
        <f>IF(ISERROR('SB4'!H9),0,('SB4'!H9))</f>
        <v>0.62336203832404879</v>
      </c>
      <c r="J13" s="336">
        <f>IF(ISERROR('SB4'!I9),0,('SB4'!I9))</f>
        <v>0.66929140445781543</v>
      </c>
      <c r="K13" s="337">
        <f>IF(ISERROR('SB4'!J9),0,('SB4'!J9))</f>
        <v>0.21479585444000932</v>
      </c>
    </row>
    <row r="14" spans="1:11" ht="12.75" customHeight="1" x14ac:dyDescent="0.25">
      <c r="A14" s="30" t="s">
        <v>122</v>
      </c>
      <c r="B14" s="137">
        <v>10</v>
      </c>
      <c r="C14" s="137" t="s">
        <v>123</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124</v>
      </c>
      <c r="B15" s="137">
        <v>11</v>
      </c>
      <c r="C15" s="137" t="s">
        <v>123</v>
      </c>
      <c r="D15" s="338">
        <v>0.13900000000000001</v>
      </c>
      <c r="E15" s="334">
        <v>0.17</v>
      </c>
      <c r="F15" s="334">
        <v>0.218</v>
      </c>
      <c r="G15" s="334">
        <v>1.0500000000000001E-2</v>
      </c>
      <c r="H15" s="341">
        <v>0</v>
      </c>
      <c r="I15" s="334">
        <v>0</v>
      </c>
      <c r="J15" s="336">
        <f>IF(ISERROR((SUM('B6-FinPos'!L10:L12)-SUM('B6-FinPos'!K10:K12))/SUM('B6-FinPos'!K10:K12)), 0, (SUM('B6-FinPos'!L10:L12)-SUM('B6-FinPos'!K10:K12))/SUM('B6-FinPos'!K10:K12))</f>
        <v>1.0466994045923014E-2</v>
      </c>
      <c r="K15" s="337">
        <f>IF(ISERROR((SUM('B6-FinPos'!M10:M12)-SUM('B6-FinPos'!L10:L12))/SUM('B6-FinPos'!L10:L12)), 0, (SUM('B6-FinPos'!M10:M12)-SUM('B6-FinPos'!L10:L12))/SUM('B6-FinPos'!L10:L12))</f>
        <v>1.0491369770551711E-2</v>
      </c>
    </row>
    <row r="16" spans="1:11" ht="12.75" customHeight="1" x14ac:dyDescent="0.25">
      <c r="A16" s="129" t="s">
        <v>125</v>
      </c>
      <c r="B16" s="73">
        <v>12</v>
      </c>
      <c r="C16" s="73" t="s">
        <v>123</v>
      </c>
      <c r="D16" s="338">
        <v>0</v>
      </c>
      <c r="E16" s="334">
        <v>0</v>
      </c>
      <c r="F16" s="334">
        <v>0</v>
      </c>
      <c r="G16" s="334">
        <v>0</v>
      </c>
      <c r="H16" s="341">
        <v>0</v>
      </c>
      <c r="I16" s="334">
        <v>0</v>
      </c>
      <c r="J16" s="336">
        <f>IF(ISERROR(('B6-FinPos'!L17-'B6-FinPos'!K17)/'B6-FinPos'!K17),0,(('B6-FinPos'!L17-'B6-FinPos'!K17)/'B6-FinPos'!K17))</f>
        <v>0</v>
      </c>
      <c r="K16" s="337">
        <f>IF(ISERROR(('B6-FinPos'!M17-'B6-FinPos'!L17)/'B6-FinPos'!L17),0,(('B6-FinPos'!M17-'B6-FinPos'!L17)/'B6-FinPos'!L17))</f>
        <v>0</v>
      </c>
    </row>
    <row r="17" spans="1:11" ht="12.75" customHeight="1" x14ac:dyDescent="0.25">
      <c r="A17" s="129" t="s">
        <v>126</v>
      </c>
      <c r="B17" s="73">
        <v>13</v>
      </c>
      <c r="C17" s="468" t="s">
        <v>127</v>
      </c>
      <c r="D17" s="338">
        <v>1.5834380436473783E-2</v>
      </c>
      <c r="E17" s="334">
        <v>2.2580640508635133E-2</v>
      </c>
      <c r="F17" s="334">
        <v>0.03</v>
      </c>
      <c r="G17" s="335">
        <f>IF(ISERROR('B9-Asset'!C171/'B9-Asset'!C167),0,('B9-Asset'!C171/'B9-Asset'!C167))</f>
        <v>2.5943273268477385E-2</v>
      </c>
      <c r="H17" s="335">
        <f>IF(ISERROR('B9-Asset'!D171/'B9-Asset'!D167),0,('B9-Asset'!D171/'B9-Asset'!D167))</f>
        <v>0</v>
      </c>
      <c r="I17" s="335">
        <f>IF(ISERROR('B9-Asset'!K171/'B9-Asset'!K167),0,('B9-Asset'!K171/'B9-Asset'!K167))</f>
        <v>3.1715449700854006E-2</v>
      </c>
      <c r="J17" s="336">
        <f>IF(ISERROR('B9-Asset'!L171/'B9-Asset'!L167),0,('B9-Asset'!L171/'B9-Asset'!L167))</f>
        <v>3.0243890828347737E-2</v>
      </c>
      <c r="K17" s="337">
        <f>IF(ISERROR('B9-Asset'!M171/'B9-Asset'!M167),0,('B9-Asset'!M171/'B9-Asset'!M167))</f>
        <v>3.1168535245884307E-2</v>
      </c>
    </row>
    <row r="18" spans="1:11" ht="12.75" customHeight="1" x14ac:dyDescent="0.25">
      <c r="A18" s="175" t="s">
        <v>128</v>
      </c>
      <c r="B18" s="88">
        <v>14</v>
      </c>
      <c r="C18" s="469" t="str">
        <f>C17</f>
        <v>20(1)(vi)</v>
      </c>
      <c r="D18" s="470">
        <v>6.8663677048264298E-3</v>
      </c>
      <c r="E18" s="471">
        <v>0.35017693395058014</v>
      </c>
      <c r="F18" s="471">
        <v>0</v>
      </c>
      <c r="G18" s="472">
        <f>IF(ISERROR('B9-Asset'!C39/'B9-Asset'!C134),0,('B9-Asset'!C39/'B9-Asset'!C134))</f>
        <v>0.26645200614244163</v>
      </c>
      <c r="H18" s="472">
        <f>IF(ISERROR('B9-Asset'!D39/'B9-Asset'!D134),0,('B9-Asset'!D39/'B9-Asset'!D134))</f>
        <v>0</v>
      </c>
      <c r="I18" s="472">
        <f>IF(ISERROR('B9-Asset'!K39/'B9-Asset'!K134),0,('B9-Asset'!K39/'B9-Asset'!K134))</f>
        <v>-2.4234571502619252E-17</v>
      </c>
      <c r="J18" s="473">
        <f>IF(ISERROR('B9-Asset'!L39/'B9-Asset'!L134),0,('B9-Asset'!L39/'B9-Asset'!L134))</f>
        <v>0.12886406527185701</v>
      </c>
      <c r="K18" s="474">
        <f>IF(ISERROR('B9-Asset'!M39/'B9-Asset'!M134),0,('B9-Asset'!M39/'B9-Asset'!M134))</f>
        <v>0.17649059373154097</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129</v>
      </c>
      <c r="B20" s="475"/>
      <c r="C20" s="475"/>
      <c r="D20" s="475"/>
      <c r="E20" s="475"/>
      <c r="F20" s="475"/>
      <c r="G20" s="475"/>
      <c r="H20" s="475"/>
      <c r="I20" s="475"/>
      <c r="J20" s="475"/>
      <c r="K20" s="475"/>
    </row>
    <row r="21" spans="1:11" ht="12.75" customHeight="1" x14ac:dyDescent="0.25">
      <c r="A21" s="99" t="s">
        <v>130</v>
      </c>
      <c r="B21" s="475"/>
      <c r="C21" s="475"/>
      <c r="D21" s="475"/>
      <c r="E21" s="475"/>
      <c r="F21" s="475"/>
      <c r="G21" s="475"/>
      <c r="H21" s="475"/>
      <c r="I21" s="475"/>
      <c r="J21" s="475"/>
      <c r="K21" s="475"/>
    </row>
    <row r="22" spans="1:11" ht="12.75" customHeight="1" x14ac:dyDescent="0.25">
      <c r="A22" s="99" t="s">
        <v>131</v>
      </c>
      <c r="B22" s="475"/>
      <c r="C22" s="475"/>
      <c r="D22" s="475"/>
      <c r="E22" s="475"/>
      <c r="F22" s="475"/>
      <c r="G22" s="475"/>
      <c r="H22" s="475"/>
      <c r="I22" s="475"/>
      <c r="J22" s="475"/>
      <c r="K22" s="475"/>
    </row>
    <row r="23" spans="1:11" ht="12.75" customHeight="1" x14ac:dyDescent="0.25">
      <c r="A23" s="99" t="s">
        <v>132</v>
      </c>
      <c r="B23" s="475"/>
      <c r="C23" s="475"/>
      <c r="D23" s="475"/>
      <c r="E23" s="475"/>
      <c r="F23" s="475"/>
      <c r="G23" s="475"/>
      <c r="H23" s="475"/>
      <c r="I23" s="475"/>
      <c r="J23" s="475"/>
      <c r="K23" s="475"/>
    </row>
    <row r="24" spans="1:11" ht="12.75" customHeight="1" x14ac:dyDescent="0.25">
      <c r="A24" s="99" t="s">
        <v>133</v>
      </c>
      <c r="B24" s="475"/>
      <c r="C24" s="475"/>
      <c r="D24" s="475"/>
      <c r="E24" s="475"/>
      <c r="F24" s="475"/>
      <c r="G24" s="475"/>
      <c r="H24" s="475"/>
      <c r="I24" s="475"/>
      <c r="J24" s="475"/>
      <c r="K24" s="475"/>
    </row>
    <row r="25" spans="1:11" ht="12.75" customHeight="1" x14ac:dyDescent="0.25">
      <c r="A25" s="99" t="s">
        <v>134</v>
      </c>
      <c r="B25" s="475"/>
      <c r="C25" s="475"/>
      <c r="D25" s="475"/>
      <c r="E25" s="475"/>
      <c r="F25" s="475"/>
      <c r="G25" s="475"/>
      <c r="H25" s="475"/>
      <c r="I25" s="475"/>
      <c r="J25" s="475"/>
      <c r="K25" s="475"/>
    </row>
    <row r="26" spans="1:11" ht="12.75" customHeight="1" x14ac:dyDescent="0.25">
      <c r="A26" s="99" t="s">
        <v>135</v>
      </c>
      <c r="B26" s="475"/>
      <c r="C26" s="475"/>
      <c r="D26" s="475"/>
      <c r="E26" s="475"/>
      <c r="F26" s="475"/>
      <c r="G26" s="475"/>
      <c r="H26" s="475"/>
      <c r="I26" s="475"/>
      <c r="J26" s="475"/>
      <c r="K26" s="475"/>
    </row>
    <row r="27" spans="1:11" ht="12.75" customHeight="1" x14ac:dyDescent="0.25">
      <c r="A27" s="99" t="s">
        <v>136</v>
      </c>
      <c r="B27" s="475"/>
      <c r="C27" s="475"/>
      <c r="D27" s="475"/>
      <c r="E27" s="475"/>
      <c r="F27" s="475"/>
      <c r="G27" s="475"/>
      <c r="H27" s="475"/>
      <c r="I27" s="475"/>
      <c r="J27" s="475"/>
      <c r="K27" s="475"/>
    </row>
    <row r="28" spans="1:11" ht="12.75" customHeight="1" x14ac:dyDescent="0.25">
      <c r="A28" s="99" t="s">
        <v>137</v>
      </c>
      <c r="B28" s="475"/>
      <c r="C28" s="475"/>
      <c r="D28" s="475"/>
      <c r="E28" s="475"/>
      <c r="F28" s="475"/>
      <c r="G28" s="475"/>
      <c r="H28" s="475"/>
      <c r="I28" s="475"/>
      <c r="J28" s="475"/>
      <c r="K28" s="475"/>
    </row>
    <row r="29" spans="1:11" ht="12.75" customHeight="1" x14ac:dyDescent="0.25">
      <c r="A29" s="99" t="s">
        <v>138</v>
      </c>
      <c r="B29" s="475"/>
      <c r="C29" s="475"/>
      <c r="D29" s="475"/>
      <c r="E29" s="475"/>
      <c r="F29" s="475"/>
      <c r="G29" s="475"/>
      <c r="H29" s="475"/>
      <c r="I29" s="475"/>
      <c r="J29" s="475"/>
      <c r="K29" s="475"/>
    </row>
    <row r="30" spans="1:11" ht="12.75" customHeight="1" x14ac:dyDescent="0.25">
      <c r="A30" s="99" t="s">
        <v>139</v>
      </c>
      <c r="B30" s="475"/>
      <c r="C30" s="475"/>
      <c r="D30" s="475"/>
      <c r="E30" s="475"/>
      <c r="F30" s="475"/>
      <c r="G30" s="475"/>
      <c r="H30" s="475"/>
      <c r="I30" s="475"/>
      <c r="J30" s="475"/>
      <c r="K30" s="475"/>
    </row>
    <row r="31" spans="1:11" ht="12.75" customHeight="1" x14ac:dyDescent="0.25">
      <c r="A31" s="99" t="s">
        <v>140</v>
      </c>
      <c r="B31" s="475"/>
      <c r="C31" s="475"/>
      <c r="D31" s="475"/>
      <c r="E31" s="475"/>
      <c r="F31" s="475"/>
      <c r="G31" s="475"/>
      <c r="H31" s="475"/>
      <c r="I31" s="475"/>
      <c r="J31" s="475"/>
      <c r="K31" s="475"/>
    </row>
    <row r="32" spans="1:11" ht="12.75" customHeight="1" x14ac:dyDescent="0.25">
      <c r="A32" s="99" t="s">
        <v>141</v>
      </c>
      <c r="B32" s="475"/>
      <c r="C32" s="475"/>
      <c r="D32" s="475"/>
      <c r="E32" s="475"/>
      <c r="F32" s="475"/>
      <c r="G32" s="475"/>
      <c r="H32" s="475"/>
      <c r="I32" s="475"/>
      <c r="J32" s="475"/>
      <c r="K32" s="475"/>
    </row>
    <row r="33" spans="1:16" ht="12.75" customHeight="1" x14ac:dyDescent="0.25">
      <c r="A33" s="99" t="s">
        <v>142</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143</v>
      </c>
      <c r="B35" s="475"/>
      <c r="C35" s="475"/>
      <c r="D35" s="475"/>
      <c r="E35" s="475"/>
      <c r="F35" s="475"/>
      <c r="G35" s="810">
        <v>0.06</v>
      </c>
      <c r="H35" s="811">
        <v>0.06</v>
      </c>
      <c r="I35" s="811">
        <v>0.06</v>
      </c>
      <c r="J35" s="811">
        <v>0.06</v>
      </c>
      <c r="K35" s="812">
        <v>0.06</v>
      </c>
    </row>
    <row r="36" spans="1:16" ht="12.75" customHeight="1" x14ac:dyDescent="0.25">
      <c r="A36" s="476" t="s">
        <v>144</v>
      </c>
      <c r="B36" s="477"/>
      <c r="C36" s="477"/>
      <c r="D36" s="477"/>
      <c r="E36" s="477"/>
      <c r="F36" s="84"/>
      <c r="G36" s="347">
        <f>IF(ISERROR(SUM('B4-FinPerf RE'!C7:C12)),0,(SUM('B4-FinPerf RE'!C7:C12)))</f>
        <v>625583000</v>
      </c>
      <c r="H36" s="347">
        <f>IF(ISERROR(SUM('B4-FinPerf RE'!D7:D12)),0,(SUM('B4-FinPerf RE'!D7:D12)))</f>
        <v>0</v>
      </c>
      <c r="I36" s="347">
        <f>IF(ISERROR(SUM('B4-FinPerf RE'!K7:K12)),0,(SUM('B4-FinPerf RE'!K7:K12)))</f>
        <v>625583000</v>
      </c>
      <c r="J36" s="347">
        <f>IF(ISERROR(SUM('B4-FinPerf RE'!L7:L12)),0,(SUM('B4-FinPerf RE'!L7:L12)))</f>
        <v>659990065</v>
      </c>
      <c r="K36" s="347">
        <f>IF(ISERROR(SUM('B4-FinPerf RE'!M7:M12)),0,(SUM('B4-FinPerf RE'!M7:M12)))</f>
        <v>696289518.57499993</v>
      </c>
    </row>
    <row r="37" spans="1:16" ht="12.75" customHeight="1" x14ac:dyDescent="0.25">
      <c r="A37" s="476" t="s">
        <v>145</v>
      </c>
      <c r="B37" s="121"/>
      <c r="C37" s="121"/>
      <c r="D37" s="348"/>
      <c r="E37" s="348"/>
      <c r="F37" s="348"/>
      <c r="G37" s="1068"/>
      <c r="H37" s="347"/>
      <c r="I37" s="347">
        <f>G37</f>
        <v>0</v>
      </c>
      <c r="J37" s="347">
        <f>I36</f>
        <v>625583000</v>
      </c>
      <c r="K37" s="347">
        <f>J36</f>
        <v>659990065</v>
      </c>
      <c r="O37" s="168"/>
      <c r="P37" s="168"/>
    </row>
    <row r="38" spans="1:16" ht="12.75" customHeight="1" x14ac:dyDescent="0.25">
      <c r="A38" s="478" t="s">
        <v>146</v>
      </c>
      <c r="B38" s="121"/>
      <c r="C38" s="121"/>
      <c r="D38" s="1069"/>
      <c r="E38" s="1070"/>
      <c r="F38" s="1070"/>
      <c r="G38" s="1070"/>
      <c r="H38" s="1070"/>
      <c r="I38" s="1070"/>
      <c r="J38" s="1070"/>
      <c r="K38" s="1071"/>
      <c r="O38" s="168"/>
      <c r="P38" s="168"/>
    </row>
    <row r="39" spans="1:16" ht="12.75" customHeight="1" x14ac:dyDescent="0.25">
      <c r="A39" s="478" t="s">
        <v>147</v>
      </c>
      <c r="B39" s="121"/>
      <c r="C39" s="121"/>
      <c r="D39" s="1072"/>
      <c r="E39" s="1073"/>
      <c r="F39" s="1073"/>
      <c r="G39" s="1074"/>
      <c r="H39" s="1074"/>
      <c r="I39" s="1074"/>
      <c r="J39" s="1074"/>
      <c r="K39" s="1075"/>
      <c r="O39" s="168"/>
      <c r="P39" s="168"/>
    </row>
    <row r="40" spans="1:16" ht="12.75" customHeight="1" x14ac:dyDescent="0.25">
      <c r="A40" s="478" t="s">
        <v>148</v>
      </c>
      <c r="B40" s="121"/>
      <c r="C40" s="121"/>
      <c r="D40" s="1072"/>
      <c r="E40" s="1073"/>
      <c r="F40" s="1076"/>
      <c r="G40" s="347">
        <f>'B7-CFlow'!C8+'B7-CFlow'!C9+'B7-CFlow'!C10</f>
        <v>699176573</v>
      </c>
      <c r="H40" s="347">
        <f>'B7-CFlow'!D8+'B7-CFlow'!D9+'B7-CFlow'!D10</f>
        <v>0</v>
      </c>
      <c r="I40" s="347">
        <f>'B7-CFlow'!K8+'B7-CFlow'!K9+'B7-CFlow'!K10</f>
        <v>698676573</v>
      </c>
      <c r="J40" s="347">
        <f>'B7-CFlow'!L8+'B7-CFlow'!L9+'B7-CFlow'!L10</f>
        <v>737631284.51499999</v>
      </c>
      <c r="K40" s="347">
        <f>'B7-CFlow'!M8+'B7-CFlow'!M9+'B7-CFlow'!M10</f>
        <v>778201005.16332495</v>
      </c>
      <c r="O40" s="168"/>
      <c r="P40" s="168"/>
    </row>
    <row r="41" spans="1:16" ht="12.75" customHeight="1" x14ac:dyDescent="0.25">
      <c r="A41" s="478" t="s">
        <v>149</v>
      </c>
      <c r="B41" s="121"/>
      <c r="C41" s="121"/>
      <c r="D41" s="1072"/>
      <c r="E41" s="1073"/>
      <c r="F41" s="1076"/>
      <c r="G41" s="347">
        <f>SUM('B4-FinPerf RE'!C7:C13)+'B4-FinPerf RE'!C15+SUM('B4-FinPerf RE'!C17:C19)+'B4-FinPerf RE'!C21</f>
        <v>718676573</v>
      </c>
      <c r="H41" s="347">
        <f>SUM('B4-FinPerf RE'!D7:D13)+'B4-FinPerf RE'!D15+SUM('B4-FinPerf RE'!D17:D19)+'B4-FinPerf RE'!D21</f>
        <v>0</v>
      </c>
      <c r="I41" s="347">
        <f>SUM('B4-FinPerf RE'!K7:K13)+'B4-FinPerf RE'!K15+SUM('B4-FinPerf RE'!K17:K19)+'B4-FinPerf RE'!K21</f>
        <v>718176573</v>
      </c>
      <c r="J41" s="347">
        <f>SUM('B4-FinPerf RE'!L7:L13)+'B4-FinPerf RE'!L15+SUM('B4-FinPerf RE'!L17:L19)+'B4-FinPerf RE'!L21</f>
        <v>758203784.51499999</v>
      </c>
      <c r="K41" s="347">
        <f>SUM('B4-FinPerf RE'!M7:M13)+'B4-FinPerf RE'!M15+SUM('B4-FinPerf RE'!M17:M19)+'B4-FinPerf RE'!M21</f>
        <v>799904993.16332483</v>
      </c>
      <c r="O41" s="168"/>
      <c r="P41" s="168"/>
    </row>
    <row r="42" spans="1:16" ht="12.75" customHeight="1" x14ac:dyDescent="0.25">
      <c r="A42" s="478" t="s">
        <v>150</v>
      </c>
      <c r="B42" s="121"/>
      <c r="C42" s="121"/>
      <c r="D42" s="1077"/>
      <c r="E42" s="1074"/>
      <c r="F42" s="1074"/>
      <c r="G42" s="1078"/>
      <c r="H42" s="1078"/>
      <c r="I42" s="1079"/>
      <c r="J42" s="347">
        <f>(SUM('B6-FinPos'!L10:L12)+'B6-FinPos'!L17)-(SUM('B6-FinPos'!K10:K12)+'B6-FinPos'!K17)</f>
        <v>3535979.8843250275</v>
      </c>
      <c r="K42" s="347">
        <f>(SUM('B6-FinPos'!M10:M12)+'B6-FinPos'!M17)-(SUM('B6-FinPos'!L10:L12)+'B6-FinPos'!L17)</f>
        <v>3581311.8105600476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3"/>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151</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LIM333 Greater Tzaneen - Supporting Table SB7 Adjustments Budget - transfers and grant receipts - 27/02/2019</v>
      </c>
      <c r="B1" s="5"/>
      <c r="C1" s="58"/>
    </row>
    <row r="2" spans="1:11" ht="38.25" x14ac:dyDescent="0.25">
      <c r="A2" s="1393" t="str">
        <f>desc</f>
        <v>Description</v>
      </c>
      <c r="B2" s="1393" t="str">
        <f>head27</f>
        <v>Ref</v>
      </c>
      <c r="C2" s="1390" t="str">
        <f>Head2</f>
        <v>Budget Year 2018/19</v>
      </c>
      <c r="D2" s="1391"/>
      <c r="E2" s="1391"/>
      <c r="F2" s="1391"/>
      <c r="G2" s="1391"/>
      <c r="H2" s="1391"/>
      <c r="I2" s="1391"/>
      <c r="J2" s="103" t="str">
        <f>Head10</f>
        <v>Budget Year +1 2019/20</v>
      </c>
      <c r="K2" s="61" t="str">
        <f>Head11</f>
        <v>Budget Year +2 2020/21</v>
      </c>
    </row>
    <row r="3" spans="1:11" ht="25.5" x14ac:dyDescent="0.25">
      <c r="A3" s="1394"/>
      <c r="B3" s="1394"/>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4"/>
      <c r="B4" s="1394"/>
      <c r="C4" s="14"/>
      <c r="D4" s="15">
        <v>7</v>
      </c>
      <c r="E4" s="15">
        <v>8</v>
      </c>
      <c r="F4" s="15">
        <v>9</v>
      </c>
      <c r="G4" s="15">
        <v>10</v>
      </c>
      <c r="H4" s="15">
        <v>11</v>
      </c>
      <c r="I4" s="15">
        <v>12</v>
      </c>
      <c r="J4" s="15"/>
      <c r="K4" s="17"/>
    </row>
    <row r="5" spans="1:11" x14ac:dyDescent="0.25">
      <c r="A5" s="66" t="s">
        <v>605</v>
      </c>
      <c r="B5" s="104"/>
      <c r="C5" s="482" t="s">
        <v>548</v>
      </c>
      <c r="D5" s="68" t="s">
        <v>549</v>
      </c>
      <c r="E5" s="69" t="s">
        <v>550</v>
      </c>
      <c r="F5" s="69" t="s">
        <v>551</v>
      </c>
      <c r="G5" s="70" t="s">
        <v>552</v>
      </c>
      <c r="H5" s="70" t="s">
        <v>553</v>
      </c>
      <c r="I5" s="70" t="s">
        <v>554</v>
      </c>
      <c r="J5" s="70"/>
      <c r="K5" s="71"/>
    </row>
    <row r="6" spans="1:11" ht="12.75" customHeight="1" x14ac:dyDescent="0.25">
      <c r="A6" s="139" t="s">
        <v>152</v>
      </c>
      <c r="B6" s="73" t="s">
        <v>153</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1117</v>
      </c>
      <c r="B8" s="73"/>
      <c r="C8" s="240"/>
      <c r="D8" s="75"/>
      <c r="E8" s="75"/>
      <c r="F8" s="75"/>
      <c r="G8" s="75"/>
      <c r="H8" s="75"/>
      <c r="I8" s="75"/>
      <c r="J8" s="75"/>
      <c r="K8" s="76"/>
    </row>
    <row r="9" spans="1:11" ht="12.75" customHeight="1" x14ac:dyDescent="0.25">
      <c r="A9" s="139" t="s">
        <v>154</v>
      </c>
      <c r="B9" s="73"/>
      <c r="C9" s="483">
        <f t="shared" ref="C9:K9" si="0">SUM(C10:C16)</f>
        <v>366610750</v>
      </c>
      <c r="D9" s="141">
        <f t="shared" si="0"/>
        <v>0</v>
      </c>
      <c r="E9" s="141">
        <f t="shared" si="0"/>
        <v>0</v>
      </c>
      <c r="F9" s="141">
        <f t="shared" si="0"/>
        <v>0</v>
      </c>
      <c r="G9" s="141">
        <f t="shared" si="0"/>
        <v>0</v>
      </c>
      <c r="H9" s="141">
        <f t="shared" si="0"/>
        <v>0</v>
      </c>
      <c r="I9" s="141">
        <f t="shared" si="0"/>
        <v>366610750</v>
      </c>
      <c r="J9" s="141">
        <f t="shared" si="0"/>
        <v>398276150</v>
      </c>
      <c r="K9" s="142">
        <f t="shared" si="0"/>
        <v>429446520</v>
      </c>
    </row>
    <row r="10" spans="1:11" ht="12.75" customHeight="1" x14ac:dyDescent="0.25">
      <c r="A10" s="108" t="s">
        <v>1291</v>
      </c>
      <c r="B10" s="73"/>
      <c r="C10" s="485">
        <v>338344000</v>
      </c>
      <c r="D10" s="486"/>
      <c r="E10" s="486"/>
      <c r="F10" s="486"/>
      <c r="G10" s="486"/>
      <c r="H10" s="487">
        <f t="shared" ref="H10:H16" si="1">SUM(E10:G10)</f>
        <v>0</v>
      </c>
      <c r="I10" s="487">
        <f t="shared" ref="I10:I16" si="2">IF(D10=0,C10+H10,D10+H10)</f>
        <v>338344000</v>
      </c>
      <c r="J10" s="486">
        <v>375418000</v>
      </c>
      <c r="K10" s="488">
        <v>409819000</v>
      </c>
    </row>
    <row r="11" spans="1:11" ht="12.75" customHeight="1" x14ac:dyDescent="0.25">
      <c r="A11" s="484" t="s">
        <v>1293</v>
      </c>
      <c r="B11" s="73">
        <v>3</v>
      </c>
      <c r="C11" s="389">
        <v>2145000</v>
      </c>
      <c r="D11" s="109"/>
      <c r="E11" s="109"/>
      <c r="F11" s="109"/>
      <c r="G11" s="109"/>
      <c r="H11" s="75">
        <f t="shared" si="1"/>
        <v>0</v>
      </c>
      <c r="I11" s="75">
        <f t="shared" si="2"/>
        <v>2145000</v>
      </c>
      <c r="J11" s="109">
        <v>2145000</v>
      </c>
      <c r="K11" s="110">
        <v>2145000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1296</v>
      </c>
      <c r="B13" s="73"/>
      <c r="C13" s="389">
        <v>15996000</v>
      </c>
      <c r="D13" s="109"/>
      <c r="E13" s="109"/>
      <c r="F13" s="109"/>
      <c r="G13" s="109"/>
      <c r="H13" s="75">
        <f t="shared" si="1"/>
        <v>0</v>
      </c>
      <c r="I13" s="75">
        <f t="shared" si="2"/>
        <v>15996000</v>
      </c>
      <c r="J13" s="109">
        <v>16000000</v>
      </c>
      <c r="K13" s="110">
        <v>12500000</v>
      </c>
    </row>
    <row r="14" spans="1:11" ht="12.75" customHeight="1" x14ac:dyDescent="0.25">
      <c r="A14" s="484" t="s">
        <v>1300</v>
      </c>
      <c r="B14" s="73"/>
      <c r="C14" s="389">
        <v>5510000</v>
      </c>
      <c r="D14" s="109"/>
      <c r="E14" s="109"/>
      <c r="F14" s="109"/>
      <c r="G14" s="109"/>
      <c r="H14" s="75">
        <f t="shared" si="1"/>
        <v>0</v>
      </c>
      <c r="I14" s="75">
        <f t="shared" si="2"/>
        <v>5510000</v>
      </c>
      <c r="J14" s="109"/>
      <c r="K14" s="110"/>
    </row>
    <row r="15" spans="1:11" ht="12.75" customHeight="1" x14ac:dyDescent="0.25">
      <c r="A15" s="484" t="s">
        <v>1299</v>
      </c>
      <c r="B15" s="73"/>
      <c r="C15" s="389"/>
      <c r="D15" s="109"/>
      <c r="E15" s="109"/>
      <c r="F15" s="109"/>
      <c r="G15" s="109"/>
      <c r="H15" s="75">
        <f t="shared" si="1"/>
        <v>0</v>
      </c>
      <c r="I15" s="75">
        <f t="shared" si="2"/>
        <v>0</v>
      </c>
      <c r="J15" s="109"/>
      <c r="K15" s="110"/>
    </row>
    <row r="16" spans="1:11" ht="12.75" customHeight="1" x14ac:dyDescent="0.25">
      <c r="A16" s="484" t="s">
        <v>1951</v>
      </c>
      <c r="B16" s="73"/>
      <c r="C16" s="489">
        <v>4615750</v>
      </c>
      <c r="D16" s="144"/>
      <c r="E16" s="144"/>
      <c r="F16" s="144"/>
      <c r="G16" s="144"/>
      <c r="H16" s="145">
        <f t="shared" si="1"/>
        <v>0</v>
      </c>
      <c r="I16" s="145">
        <f t="shared" si="2"/>
        <v>4615750</v>
      </c>
      <c r="J16" s="144">
        <v>4713150</v>
      </c>
      <c r="K16" s="113">
        <v>4982520</v>
      </c>
    </row>
    <row r="17" spans="1:11" ht="12.75" customHeight="1" x14ac:dyDescent="0.25">
      <c r="A17" s="139" t="s">
        <v>156</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4"/>
      <c r="B18" s="73"/>
      <c r="C18" s="485"/>
      <c r="D18" s="490"/>
      <c r="E18" s="486"/>
      <c r="F18" s="486"/>
      <c r="G18" s="486"/>
      <c r="H18" s="487">
        <f>SUM(E18:G18)</f>
        <v>0</v>
      </c>
      <c r="I18" s="487">
        <f>IF(D18=0,C18+H18,D18+H18)</f>
        <v>0</v>
      </c>
      <c r="J18" s="486"/>
      <c r="K18" s="488"/>
    </row>
    <row r="19" spans="1:11" ht="12.75" customHeight="1" x14ac:dyDescent="0.25">
      <c r="A19" s="484"/>
      <c r="B19" s="73"/>
      <c r="C19" s="389"/>
      <c r="D19" s="130"/>
      <c r="E19" s="109"/>
      <c r="F19" s="109"/>
      <c r="G19" s="109"/>
      <c r="H19" s="75">
        <f>SUM(E19:G19)</f>
        <v>0</v>
      </c>
      <c r="I19" s="75">
        <f>IF(D19=0,C19+H19,D19+H19)</f>
        <v>0</v>
      </c>
      <c r="J19" s="109"/>
      <c r="K19" s="110"/>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484" t="s">
        <v>155</v>
      </c>
      <c r="B22" s="73">
        <v>5</v>
      </c>
      <c r="C22" s="489"/>
      <c r="D22" s="143"/>
      <c r="E22" s="144"/>
      <c r="F22" s="144"/>
      <c r="G22" s="144"/>
      <c r="H22" s="145">
        <f>SUM(E22:G22)</f>
        <v>0</v>
      </c>
      <c r="I22" s="145">
        <f>IF(D22=0,C22+H22,D22+H22)</f>
        <v>0</v>
      </c>
      <c r="J22" s="144"/>
      <c r="K22" s="113"/>
    </row>
    <row r="23" spans="1:11" ht="12.75" customHeight="1" x14ac:dyDescent="0.25">
      <c r="A23" s="139" t="s">
        <v>157</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158</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159</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158</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1118</v>
      </c>
      <c r="B29" s="79">
        <v>6</v>
      </c>
      <c r="C29" s="492">
        <f t="shared" ref="C29:K29" si="6">C9+C17+C23+C26</f>
        <v>366610750</v>
      </c>
      <c r="D29" s="81">
        <f t="shared" si="6"/>
        <v>0</v>
      </c>
      <c r="E29" s="81">
        <f t="shared" si="6"/>
        <v>0</v>
      </c>
      <c r="F29" s="81">
        <f t="shared" si="6"/>
        <v>0</v>
      </c>
      <c r="G29" s="81">
        <f t="shared" si="6"/>
        <v>0</v>
      </c>
      <c r="H29" s="81">
        <f t="shared" si="6"/>
        <v>0</v>
      </c>
      <c r="I29" s="81">
        <f>I9+I17+I23+I26</f>
        <v>366610750</v>
      </c>
      <c r="J29" s="81">
        <f t="shared" si="6"/>
        <v>398276150</v>
      </c>
      <c r="K29" s="82">
        <f t="shared" si="6"/>
        <v>429446520</v>
      </c>
    </row>
    <row r="30" spans="1:11" ht="4.9000000000000004" customHeight="1" x14ac:dyDescent="0.25">
      <c r="A30" s="136"/>
      <c r="B30" s="73"/>
      <c r="C30" s="240"/>
      <c r="D30" s="75"/>
      <c r="E30" s="75"/>
      <c r="F30" s="75"/>
      <c r="G30" s="75"/>
      <c r="H30" s="75"/>
      <c r="I30" s="75"/>
      <c r="J30" s="75"/>
      <c r="K30" s="76"/>
    </row>
    <row r="31" spans="1:11" ht="12.75" customHeight="1" x14ac:dyDescent="0.25">
      <c r="A31" s="493" t="s">
        <v>1119</v>
      </c>
      <c r="B31" s="73"/>
      <c r="C31" s="240"/>
      <c r="D31" s="75"/>
      <c r="E31" s="75"/>
      <c r="F31" s="75"/>
      <c r="G31" s="75"/>
      <c r="H31" s="75"/>
      <c r="I31" s="75"/>
      <c r="J31" s="75"/>
      <c r="K31" s="76"/>
    </row>
    <row r="32" spans="1:11" ht="12.75" customHeight="1" x14ac:dyDescent="0.25">
      <c r="A32" s="139" t="str">
        <f>A9</f>
        <v>National Government:</v>
      </c>
      <c r="B32" s="73"/>
      <c r="C32" s="483">
        <f t="shared" ref="C32:K32" si="7">SUM(C33:C38)</f>
        <v>87699250</v>
      </c>
      <c r="D32" s="141">
        <f t="shared" si="7"/>
        <v>0</v>
      </c>
      <c r="E32" s="141">
        <f t="shared" si="7"/>
        <v>0</v>
      </c>
      <c r="F32" s="141">
        <f t="shared" si="7"/>
        <v>0</v>
      </c>
      <c r="G32" s="141">
        <f t="shared" si="7"/>
        <v>0</v>
      </c>
      <c r="H32" s="141">
        <f t="shared" si="7"/>
        <v>0</v>
      </c>
      <c r="I32" s="141">
        <f t="shared" si="7"/>
        <v>87699250</v>
      </c>
      <c r="J32" s="141">
        <f t="shared" si="7"/>
        <v>89549850</v>
      </c>
      <c r="K32" s="142">
        <f t="shared" si="7"/>
        <v>94667480</v>
      </c>
    </row>
    <row r="33" spans="1:13" ht="12.75" customHeight="1" x14ac:dyDescent="0.25">
      <c r="A33" s="484" t="s">
        <v>1303</v>
      </c>
      <c r="B33" s="73"/>
      <c r="C33" s="485">
        <v>87699250</v>
      </c>
      <c r="D33" s="486"/>
      <c r="E33" s="486"/>
      <c r="F33" s="486"/>
      <c r="G33" s="486"/>
      <c r="H33" s="487">
        <f t="shared" ref="H33:H38" si="8">SUM(E33:G33)</f>
        <v>0</v>
      </c>
      <c r="I33" s="487">
        <f t="shared" ref="I33:I38" si="9">IF(D33=0,C33+H33,D33+H33)</f>
        <v>87699250</v>
      </c>
      <c r="J33" s="486">
        <v>89549850</v>
      </c>
      <c r="K33" s="488">
        <v>94667480</v>
      </c>
    </row>
    <row r="34" spans="1:13" ht="12.75" customHeight="1" x14ac:dyDescent="0.25">
      <c r="A34" s="484" t="s">
        <v>1308</v>
      </c>
      <c r="B34" s="73"/>
      <c r="C34" s="389"/>
      <c r="D34" s="109"/>
      <c r="E34" s="109"/>
      <c r="F34" s="109"/>
      <c r="G34" s="109"/>
      <c r="H34" s="75">
        <f t="shared" si="8"/>
        <v>0</v>
      </c>
      <c r="I34" s="75">
        <f t="shared" si="9"/>
        <v>0</v>
      </c>
      <c r="J34" s="109"/>
      <c r="K34" s="110"/>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1290</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484" t="s">
        <v>160</v>
      </c>
      <c r="B38" s="73"/>
      <c r="C38" s="489"/>
      <c r="D38" s="144"/>
      <c r="E38" s="144"/>
      <c r="F38" s="144"/>
      <c r="G38" s="144"/>
      <c r="H38" s="145">
        <f t="shared" si="8"/>
        <v>0</v>
      </c>
      <c r="I38" s="145">
        <f t="shared" si="9"/>
        <v>0</v>
      </c>
      <c r="J38" s="144"/>
      <c r="K38" s="113"/>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7" t="s">
        <v>1479</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158</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158</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1120</v>
      </c>
      <c r="B48" s="79">
        <v>6</v>
      </c>
      <c r="C48" s="492">
        <f t="shared" ref="C48:K48" si="13">C32+C39+C42+C45</f>
        <v>87699250</v>
      </c>
      <c r="D48" s="81">
        <f t="shared" si="13"/>
        <v>0</v>
      </c>
      <c r="E48" s="81">
        <f t="shared" si="13"/>
        <v>0</v>
      </c>
      <c r="F48" s="81">
        <f t="shared" si="13"/>
        <v>0</v>
      </c>
      <c r="G48" s="81">
        <f t="shared" si="13"/>
        <v>0</v>
      </c>
      <c r="H48" s="81">
        <f t="shared" si="13"/>
        <v>0</v>
      </c>
      <c r="I48" s="81">
        <f>I32+I39+I42+I45</f>
        <v>87699250</v>
      </c>
      <c r="J48" s="81">
        <f t="shared" si="13"/>
        <v>89549850</v>
      </c>
      <c r="K48" s="82">
        <f t="shared" si="13"/>
        <v>94667480</v>
      </c>
    </row>
    <row r="49" spans="1:13" ht="12.75" customHeight="1" x14ac:dyDescent="0.25">
      <c r="A49" s="495" t="s">
        <v>1121</v>
      </c>
      <c r="B49" s="156"/>
      <c r="C49" s="116">
        <f t="shared" ref="C49:K49" si="14">C29+C48</f>
        <v>454310000</v>
      </c>
      <c r="D49" s="117">
        <f t="shared" si="14"/>
        <v>0</v>
      </c>
      <c r="E49" s="117">
        <f t="shared" si="14"/>
        <v>0</v>
      </c>
      <c r="F49" s="117">
        <f t="shared" si="14"/>
        <v>0</v>
      </c>
      <c r="G49" s="117">
        <f t="shared" si="14"/>
        <v>0</v>
      </c>
      <c r="H49" s="117">
        <f t="shared" si="14"/>
        <v>0</v>
      </c>
      <c r="I49" s="117">
        <f>I29+I48</f>
        <v>454310000</v>
      </c>
      <c r="J49" s="117">
        <f t="shared" si="14"/>
        <v>487826000</v>
      </c>
      <c r="K49" s="118">
        <f t="shared" si="14"/>
        <v>524114000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545</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496" t="s">
        <v>165</v>
      </c>
      <c r="B55" s="93"/>
      <c r="C55" s="96"/>
      <c r="D55" s="96"/>
      <c r="E55" s="96"/>
      <c r="F55" s="96"/>
      <c r="G55" s="96"/>
      <c r="H55" s="96"/>
      <c r="I55" s="96"/>
      <c r="J55" s="96"/>
      <c r="K55" s="96"/>
    </row>
    <row r="56" spans="1:13" ht="12.75" customHeight="1" x14ac:dyDescent="0.25">
      <c r="A56" s="496" t="s">
        <v>166</v>
      </c>
      <c r="B56" s="160"/>
      <c r="C56" s="497"/>
      <c r="D56" s="497"/>
      <c r="E56" s="497"/>
      <c r="F56" s="497"/>
      <c r="G56" s="497"/>
      <c r="H56" s="497"/>
      <c r="I56" s="497"/>
      <c r="J56" s="497"/>
      <c r="K56" s="498"/>
    </row>
    <row r="57" spans="1:13" ht="12.75" customHeight="1" x14ac:dyDescent="0.25">
      <c r="A57" s="1389" t="s">
        <v>992</v>
      </c>
      <c r="B57" s="1389"/>
      <c r="C57" s="1389"/>
      <c r="D57" s="1389"/>
      <c r="E57" s="1389"/>
      <c r="F57" s="1389"/>
      <c r="G57" s="1389"/>
      <c r="H57" s="1389"/>
      <c r="I57" s="1389"/>
      <c r="J57" s="1389"/>
      <c r="K57" s="1389"/>
    </row>
    <row r="58" spans="1:13" ht="12.75" customHeight="1" x14ac:dyDescent="0.25">
      <c r="A58" s="99" t="s">
        <v>1196</v>
      </c>
      <c r="B58" s="99"/>
      <c r="C58" s="99"/>
      <c r="D58" s="99"/>
      <c r="E58" s="99"/>
      <c r="F58" s="99"/>
      <c r="G58" s="99"/>
      <c r="H58" s="99"/>
      <c r="I58" s="99"/>
      <c r="J58" s="99"/>
      <c r="K58" s="98"/>
    </row>
    <row r="59" spans="1:13" ht="12.75" customHeight="1" x14ac:dyDescent="0.25">
      <c r="A59" s="99" t="s">
        <v>636</v>
      </c>
      <c r="B59" s="93"/>
      <c r="C59" s="96"/>
      <c r="D59" s="96"/>
      <c r="E59" s="96"/>
      <c r="F59" s="96"/>
      <c r="G59" s="96"/>
      <c r="H59" s="96"/>
      <c r="I59" s="96"/>
      <c r="J59" s="96"/>
      <c r="K59" s="96"/>
    </row>
    <row r="60" spans="1:13" ht="25.15" customHeight="1" x14ac:dyDescent="0.25">
      <c r="A60" s="1389" t="s">
        <v>167</v>
      </c>
      <c r="B60" s="1389"/>
      <c r="C60" s="1389"/>
      <c r="D60" s="1389"/>
      <c r="E60" s="1389"/>
      <c r="F60" s="1389"/>
      <c r="G60" s="1389"/>
      <c r="H60" s="1389"/>
      <c r="I60" s="1389"/>
      <c r="J60" s="1389"/>
      <c r="K60" s="1389"/>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LIM333 Greater Tzaneen - Supporting Table SB8 Adjustments Budget - expenditure on transfers and grant programme - 27/02/2019</v>
      </c>
      <c r="B1" s="5"/>
      <c r="C1" s="58"/>
    </row>
    <row r="2" spans="1:11" ht="25.5" x14ac:dyDescent="0.25">
      <c r="A2" s="1393" t="str">
        <f>desc</f>
        <v>Description</v>
      </c>
      <c r="B2" s="1393" t="str">
        <f>head27</f>
        <v>Ref</v>
      </c>
      <c r="C2" s="1390" t="str">
        <f>Head2</f>
        <v>Budget Year 2018/19</v>
      </c>
      <c r="D2" s="1391"/>
      <c r="E2" s="1391"/>
      <c r="F2" s="1391"/>
      <c r="G2" s="1391"/>
      <c r="H2" s="1391"/>
      <c r="I2" s="1391"/>
      <c r="J2" s="103" t="str">
        <f>Head10</f>
        <v>Budget Year +1 2019/20</v>
      </c>
      <c r="K2" s="61" t="str">
        <f>Head11</f>
        <v>Budget Year +2 2020/21</v>
      </c>
    </row>
    <row r="3" spans="1:11" ht="25.5" x14ac:dyDescent="0.25">
      <c r="A3" s="1394"/>
      <c r="B3" s="139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4"/>
      <c r="B4" s="1394"/>
      <c r="C4" s="65"/>
      <c r="D4" s="15">
        <v>2</v>
      </c>
      <c r="E4" s="15">
        <v>3</v>
      </c>
      <c r="F4" s="15">
        <v>4</v>
      </c>
      <c r="G4" s="15">
        <v>5</v>
      </c>
      <c r="H4" s="15">
        <v>6</v>
      </c>
      <c r="I4" s="15">
        <v>7</v>
      </c>
      <c r="J4" s="15"/>
      <c r="K4" s="17"/>
    </row>
    <row r="5" spans="1:11" x14ac:dyDescent="0.25">
      <c r="A5" s="66" t="s">
        <v>605</v>
      </c>
      <c r="B5" s="104"/>
      <c r="C5" s="67" t="s">
        <v>548</v>
      </c>
      <c r="D5" s="68" t="s">
        <v>549</v>
      </c>
      <c r="E5" s="69" t="s">
        <v>550</v>
      </c>
      <c r="F5" s="69" t="s">
        <v>551</v>
      </c>
      <c r="G5" s="70" t="s">
        <v>552</v>
      </c>
      <c r="H5" s="70" t="s">
        <v>553</v>
      </c>
      <c r="I5" s="70" t="s">
        <v>554</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1113</v>
      </c>
      <c r="B8" s="73"/>
      <c r="C8" s="240"/>
      <c r="D8" s="75"/>
      <c r="E8" s="75"/>
      <c r="F8" s="75"/>
      <c r="G8" s="75"/>
      <c r="H8" s="75"/>
      <c r="I8" s="75"/>
      <c r="J8" s="75"/>
      <c r="K8" s="76"/>
    </row>
    <row r="9" spans="1:11" ht="12.75" customHeight="1" x14ac:dyDescent="0.25">
      <c r="A9" s="139" t="s">
        <v>154</v>
      </c>
      <c r="B9" s="73"/>
      <c r="C9" s="483">
        <f t="shared" ref="C9:K9" si="0">SUM(C10:C16)</f>
        <v>366610750</v>
      </c>
      <c r="D9" s="141">
        <f t="shared" si="0"/>
        <v>0</v>
      </c>
      <c r="E9" s="141">
        <f t="shared" si="0"/>
        <v>0</v>
      </c>
      <c r="F9" s="141">
        <f t="shared" si="0"/>
        <v>0</v>
      </c>
      <c r="G9" s="141">
        <f t="shared" si="0"/>
        <v>0</v>
      </c>
      <c r="H9" s="141">
        <f t="shared" si="0"/>
        <v>0</v>
      </c>
      <c r="I9" s="141">
        <f t="shared" si="0"/>
        <v>366610750</v>
      </c>
      <c r="J9" s="141">
        <f t="shared" si="0"/>
        <v>398276150</v>
      </c>
      <c r="K9" s="142">
        <f t="shared" si="0"/>
        <v>429446520</v>
      </c>
    </row>
    <row r="10" spans="1:11" ht="12.75" customHeight="1" x14ac:dyDescent="0.25">
      <c r="A10" s="499" t="str">
        <f>'SB7'!A10</f>
        <v>Local Government Equitable Share</v>
      </c>
      <c r="B10" s="73"/>
      <c r="C10" s="485">
        <v>338344000</v>
      </c>
      <c r="D10" s="486"/>
      <c r="E10" s="486"/>
      <c r="F10" s="486"/>
      <c r="G10" s="486"/>
      <c r="H10" s="487">
        <f t="shared" ref="H10:H16" si="1">SUM(E10:G10)</f>
        <v>0</v>
      </c>
      <c r="I10" s="487">
        <f t="shared" ref="I10:I16" si="2">IF(D10=0,C10+H10,D10+H10)</f>
        <v>338344000</v>
      </c>
      <c r="J10" s="486">
        <v>375418000</v>
      </c>
      <c r="K10" s="488">
        <v>409819000</v>
      </c>
    </row>
    <row r="11" spans="1:11" ht="12.75" customHeight="1" x14ac:dyDescent="0.25">
      <c r="A11" s="499" t="str">
        <f>'SB7'!A11</f>
        <v xml:space="preserve">Finance Management </v>
      </c>
      <c r="B11" s="73"/>
      <c r="C11" s="389">
        <v>2145000</v>
      </c>
      <c r="D11" s="109"/>
      <c r="E11" s="109"/>
      <c r="F11" s="109"/>
      <c r="G11" s="109"/>
      <c r="H11" s="75">
        <f t="shared" si="1"/>
        <v>0</v>
      </c>
      <c r="I11" s="75">
        <f t="shared" si="2"/>
        <v>2145000</v>
      </c>
      <c r="J11" s="109">
        <v>2145000</v>
      </c>
      <c r="K11" s="110">
        <v>2145000</v>
      </c>
    </row>
    <row r="12" spans="1:11" ht="12.75" customHeight="1" x14ac:dyDescent="0.25">
      <c r="A12" s="499" t="str">
        <f>'SB7'!A12</f>
        <v>Municipal Systems Improvement</v>
      </c>
      <c r="B12" s="73"/>
      <c r="C12" s="389"/>
      <c r="D12" s="109"/>
      <c r="E12" s="109"/>
      <c r="F12" s="109"/>
      <c r="G12" s="109"/>
      <c r="H12" s="75">
        <f t="shared" si="1"/>
        <v>0</v>
      </c>
      <c r="I12" s="75">
        <f t="shared" si="2"/>
        <v>0</v>
      </c>
      <c r="J12" s="109"/>
      <c r="K12" s="110"/>
    </row>
    <row r="13" spans="1:11" ht="12.75" customHeight="1" x14ac:dyDescent="0.25">
      <c r="A13" s="499" t="str">
        <f>'SB7'!A13</f>
        <v>Integrated National Electrification Programme</v>
      </c>
      <c r="B13" s="73"/>
      <c r="C13" s="389">
        <v>15996000</v>
      </c>
      <c r="D13" s="109"/>
      <c r="E13" s="109"/>
      <c r="F13" s="109"/>
      <c r="G13" s="109"/>
      <c r="H13" s="75">
        <f t="shared" si="1"/>
        <v>0</v>
      </c>
      <c r="I13" s="75">
        <f t="shared" si="2"/>
        <v>15996000</v>
      </c>
      <c r="J13" s="109">
        <v>16000000</v>
      </c>
      <c r="K13" s="110">
        <v>12500000</v>
      </c>
    </row>
    <row r="14" spans="1:11" ht="12.75" customHeight="1" x14ac:dyDescent="0.25">
      <c r="A14" s="499" t="str">
        <f>'SB7'!A14</f>
        <v>EPWP Incentive</v>
      </c>
      <c r="B14" s="73"/>
      <c r="C14" s="389">
        <v>5510000</v>
      </c>
      <c r="D14" s="109"/>
      <c r="E14" s="109"/>
      <c r="F14" s="109"/>
      <c r="G14" s="109"/>
      <c r="H14" s="75">
        <f t="shared" si="1"/>
        <v>0</v>
      </c>
      <c r="I14" s="75">
        <f t="shared" si="2"/>
        <v>5510000</v>
      </c>
      <c r="J14" s="109"/>
      <c r="K14" s="110"/>
    </row>
    <row r="15" spans="1:11" ht="12.75" customHeight="1" x14ac:dyDescent="0.25">
      <c r="A15" s="499" t="str">
        <f>'SB7'!A15</f>
        <v>Electricity Demand Side Management</v>
      </c>
      <c r="B15" s="73"/>
      <c r="C15" s="389"/>
      <c r="D15" s="109"/>
      <c r="E15" s="109"/>
      <c r="F15" s="109"/>
      <c r="G15" s="109"/>
      <c r="H15" s="75">
        <f t="shared" si="1"/>
        <v>0</v>
      </c>
      <c r="I15" s="75">
        <f t="shared" si="2"/>
        <v>0</v>
      </c>
      <c r="J15" s="109"/>
      <c r="K15" s="110"/>
    </row>
    <row r="16" spans="1:11" ht="12.75" customHeight="1" x14ac:dyDescent="0.25">
      <c r="A16" s="813" t="str">
        <f>'SB7'!A16</f>
        <v>MIG Operation/NDPG</v>
      </c>
      <c r="B16" s="73"/>
      <c r="C16" s="489">
        <v>4615750</v>
      </c>
      <c r="D16" s="144"/>
      <c r="E16" s="144"/>
      <c r="F16" s="144"/>
      <c r="G16" s="144"/>
      <c r="H16" s="145">
        <f t="shared" si="1"/>
        <v>0</v>
      </c>
      <c r="I16" s="145">
        <f t="shared" si="2"/>
        <v>4615750</v>
      </c>
      <c r="J16" s="144">
        <v>4713150</v>
      </c>
      <c r="K16" s="113">
        <v>4982520</v>
      </c>
    </row>
    <row r="17" spans="1:11" ht="12.75" customHeight="1" x14ac:dyDescent="0.25">
      <c r="A17" s="500" t="s">
        <v>156</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99">
        <f>'SB7'!A18</f>
        <v>0</v>
      </c>
      <c r="B18" s="73"/>
      <c r="C18" s="485"/>
      <c r="D18" s="490"/>
      <c r="E18" s="486"/>
      <c r="F18" s="486"/>
      <c r="G18" s="486"/>
      <c r="H18" s="487">
        <f>SUM(E18:G18)</f>
        <v>0</v>
      </c>
      <c r="I18" s="487">
        <f>IF(D18=0,C18+H18,D18+H18)</f>
        <v>0</v>
      </c>
      <c r="J18" s="486"/>
      <c r="K18" s="488"/>
    </row>
    <row r="19" spans="1:11" ht="12.75" customHeight="1" x14ac:dyDescent="0.25">
      <c r="A19" s="499">
        <f>'SB7'!A19</f>
        <v>0</v>
      </c>
      <c r="B19" s="73"/>
      <c r="C19" s="389"/>
      <c r="D19" s="130"/>
      <c r="E19" s="109"/>
      <c r="F19" s="109"/>
      <c r="G19" s="109"/>
      <c r="H19" s="75">
        <f>SUM(E19:G19)</f>
        <v>0</v>
      </c>
      <c r="I19" s="75">
        <f>IF(D19=0,C19+H19,D19+H19)</f>
        <v>0</v>
      </c>
      <c r="J19" s="109"/>
      <c r="K19" s="110"/>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c r="D22" s="143"/>
      <c r="E22" s="144"/>
      <c r="F22" s="144"/>
      <c r="G22" s="144"/>
      <c r="H22" s="145">
        <f>SUM(E22:G22)</f>
        <v>0</v>
      </c>
      <c r="I22" s="145">
        <f>IF(D22=0,C22+H22,D22+H22)</f>
        <v>0</v>
      </c>
      <c r="J22" s="144"/>
      <c r="K22" s="113"/>
    </row>
    <row r="23" spans="1:11" ht="12.75" customHeight="1" x14ac:dyDescent="0.25">
      <c r="A23" s="500" t="s">
        <v>157</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159</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1114</v>
      </c>
      <c r="B29" s="79"/>
      <c r="C29" s="492">
        <f t="shared" ref="C29:K29" si="6">C9+C17+C23+C26</f>
        <v>366610750</v>
      </c>
      <c r="D29" s="81">
        <f t="shared" si="6"/>
        <v>0</v>
      </c>
      <c r="E29" s="81">
        <f t="shared" si="6"/>
        <v>0</v>
      </c>
      <c r="F29" s="81">
        <f t="shared" si="6"/>
        <v>0</v>
      </c>
      <c r="G29" s="81">
        <f t="shared" si="6"/>
        <v>0</v>
      </c>
      <c r="H29" s="81">
        <f t="shared" si="6"/>
        <v>0</v>
      </c>
      <c r="I29" s="81">
        <f>I9+I17+I23+I26</f>
        <v>366610750</v>
      </c>
      <c r="J29" s="81">
        <f t="shared" si="6"/>
        <v>398276150</v>
      </c>
      <c r="K29" s="82">
        <f t="shared" si="6"/>
        <v>429446520</v>
      </c>
    </row>
    <row r="30" spans="1:11" ht="4.9000000000000004" customHeight="1" x14ac:dyDescent="0.25">
      <c r="A30" s="136"/>
      <c r="B30" s="73"/>
      <c r="C30" s="240"/>
      <c r="D30" s="75"/>
      <c r="E30" s="75"/>
      <c r="F30" s="75"/>
      <c r="G30" s="75"/>
      <c r="H30" s="75"/>
      <c r="I30" s="75"/>
      <c r="J30" s="75"/>
      <c r="K30" s="76"/>
    </row>
    <row r="31" spans="1:11" ht="12.75" customHeight="1" x14ac:dyDescent="0.25">
      <c r="A31" s="493" t="s">
        <v>1115</v>
      </c>
      <c r="B31" s="73"/>
      <c r="C31" s="240"/>
      <c r="D31" s="75"/>
      <c r="E31" s="75"/>
      <c r="F31" s="75"/>
      <c r="G31" s="75"/>
      <c r="H31" s="75"/>
      <c r="I31" s="75"/>
      <c r="J31" s="75"/>
      <c r="K31" s="76"/>
    </row>
    <row r="32" spans="1:11" ht="12.75" customHeight="1" x14ac:dyDescent="0.25">
      <c r="A32" s="500" t="s">
        <v>154</v>
      </c>
      <c r="B32" s="73"/>
      <c r="C32" s="483">
        <f t="shared" ref="C32:K32" si="7">SUM(C33:C38)</f>
        <v>87699250</v>
      </c>
      <c r="D32" s="141">
        <f t="shared" si="7"/>
        <v>0</v>
      </c>
      <c r="E32" s="141">
        <f t="shared" si="7"/>
        <v>0</v>
      </c>
      <c r="F32" s="141">
        <f t="shared" si="7"/>
        <v>0</v>
      </c>
      <c r="G32" s="141">
        <f t="shared" si="7"/>
        <v>0</v>
      </c>
      <c r="H32" s="141">
        <f t="shared" si="7"/>
        <v>0</v>
      </c>
      <c r="I32" s="141">
        <f t="shared" si="7"/>
        <v>87699250</v>
      </c>
      <c r="J32" s="141">
        <f t="shared" si="7"/>
        <v>89549850</v>
      </c>
      <c r="K32" s="142">
        <f t="shared" si="7"/>
        <v>94667500</v>
      </c>
    </row>
    <row r="33" spans="1:11" ht="12.75" customHeight="1" x14ac:dyDescent="0.25">
      <c r="A33" s="502" t="str">
        <f>'SB7'!A33</f>
        <v xml:space="preserve"> Municipal Infrastructure Grant (MIG)</v>
      </c>
      <c r="B33" s="73"/>
      <c r="C33" s="485">
        <v>87699250</v>
      </c>
      <c r="D33" s="486"/>
      <c r="E33" s="486"/>
      <c r="F33" s="486"/>
      <c r="G33" s="486"/>
      <c r="H33" s="487">
        <f t="shared" ref="H33:H38" si="8">SUM(E33:G33)</f>
        <v>0</v>
      </c>
      <c r="I33" s="487">
        <f t="shared" ref="I33:I38" si="9">IF(D33=0,C33+H33,D33+H33)</f>
        <v>87699250</v>
      </c>
      <c r="J33" s="486">
        <v>89549850</v>
      </c>
      <c r="K33" s="488">
        <v>94667500</v>
      </c>
    </row>
    <row r="34" spans="1:11" ht="12.75" customHeight="1" x14ac:dyDescent="0.25">
      <c r="A34" s="502" t="str">
        <f>'SB7'!A34</f>
        <v>Neighbourhood Development Partnership</v>
      </c>
      <c r="B34" s="73"/>
      <c r="C34" s="389"/>
      <c r="D34" s="109"/>
      <c r="E34" s="109"/>
      <c r="F34" s="109"/>
      <c r="G34" s="109"/>
      <c r="H34" s="75">
        <f t="shared" si="8"/>
        <v>0</v>
      </c>
      <c r="I34" s="75">
        <f t="shared" si="9"/>
        <v>0</v>
      </c>
      <c r="J34" s="109"/>
      <c r="K34" s="110"/>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c r="D38" s="144"/>
      <c r="E38" s="144"/>
      <c r="F38" s="144"/>
      <c r="G38" s="144"/>
      <c r="H38" s="145">
        <f t="shared" si="8"/>
        <v>0</v>
      </c>
      <c r="I38" s="145">
        <f t="shared" si="9"/>
        <v>0</v>
      </c>
      <c r="J38" s="144"/>
      <c r="K38" s="113"/>
    </row>
    <row r="39" spans="1:11" ht="12.75" customHeight="1" x14ac:dyDescent="0.25">
      <c r="A39" s="500" t="s">
        <v>156</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157</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159</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1116</v>
      </c>
      <c r="B48" s="105"/>
      <c r="C48" s="303">
        <f t="shared" ref="C48:K48" si="13">C32+C39+C42+C45</f>
        <v>87699250</v>
      </c>
      <c r="D48" s="151">
        <f t="shared" si="13"/>
        <v>0</v>
      </c>
      <c r="E48" s="151">
        <f t="shared" si="13"/>
        <v>0</v>
      </c>
      <c r="F48" s="151">
        <f t="shared" si="13"/>
        <v>0</v>
      </c>
      <c r="G48" s="151">
        <f t="shared" si="13"/>
        <v>0</v>
      </c>
      <c r="H48" s="151">
        <f t="shared" si="13"/>
        <v>0</v>
      </c>
      <c r="I48" s="151">
        <f t="shared" si="13"/>
        <v>87699250</v>
      </c>
      <c r="J48" s="151">
        <f t="shared" si="13"/>
        <v>89549850</v>
      </c>
      <c r="K48" s="152">
        <f t="shared" si="13"/>
        <v>94667500</v>
      </c>
    </row>
    <row r="49" spans="1:11" ht="4.9000000000000004" customHeight="1" x14ac:dyDescent="0.25">
      <c r="A49" s="136"/>
      <c r="B49" s="73"/>
      <c r="C49" s="240"/>
      <c r="D49" s="75"/>
      <c r="E49" s="75"/>
      <c r="F49" s="75"/>
      <c r="G49" s="75"/>
      <c r="H49" s="75"/>
      <c r="I49" s="75"/>
      <c r="J49" s="75"/>
      <c r="K49" s="76"/>
    </row>
    <row r="50" spans="1:11" ht="12.75" customHeight="1" x14ac:dyDescent="0.25">
      <c r="A50" s="503" t="s">
        <v>1116</v>
      </c>
      <c r="B50" s="156"/>
      <c r="C50" s="116">
        <f t="shared" ref="C50:K50" si="14">C29+C48</f>
        <v>454310000</v>
      </c>
      <c r="D50" s="117">
        <f t="shared" si="14"/>
        <v>0</v>
      </c>
      <c r="E50" s="117">
        <f t="shared" si="14"/>
        <v>0</v>
      </c>
      <c r="F50" s="117">
        <f t="shared" si="14"/>
        <v>0</v>
      </c>
      <c r="G50" s="117">
        <f t="shared" si="14"/>
        <v>0</v>
      </c>
      <c r="H50" s="117">
        <f t="shared" si="14"/>
        <v>0</v>
      </c>
      <c r="I50" s="117">
        <f t="shared" si="14"/>
        <v>454310000</v>
      </c>
      <c r="J50" s="117">
        <f t="shared" si="14"/>
        <v>487826000</v>
      </c>
      <c r="K50" s="118">
        <f t="shared" si="14"/>
        <v>524114020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993</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5.15" customHeight="1" x14ac:dyDescent="0.25">
      <c r="A56" s="1389" t="s">
        <v>175</v>
      </c>
      <c r="B56" s="1395"/>
      <c r="C56" s="1389"/>
      <c r="D56" s="1389"/>
      <c r="E56" s="1389"/>
      <c r="F56" s="1389"/>
      <c r="G56" s="1389"/>
      <c r="H56" s="1389"/>
      <c r="I56" s="1389"/>
      <c r="J56" s="1389"/>
      <c r="K56" s="1389"/>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LIM333 Greater Tzaneen - Supporting Table SB9 Adjustments Budget - reconciliation of transfers, grant receipts, and unspent funds - 27/02/2019</v>
      </c>
      <c r="B1" s="5"/>
      <c r="C1" s="58"/>
    </row>
    <row r="2" spans="1:11" ht="25.5" x14ac:dyDescent="0.25">
      <c r="A2" s="1393" t="str">
        <f>desc</f>
        <v>Description</v>
      </c>
      <c r="B2" s="1393" t="str">
        <f>head27</f>
        <v>Ref</v>
      </c>
      <c r="C2" s="1390" t="str">
        <f>Head2</f>
        <v>Budget Year 2018/19</v>
      </c>
      <c r="D2" s="1391"/>
      <c r="E2" s="1391"/>
      <c r="F2" s="1391"/>
      <c r="G2" s="1391"/>
      <c r="H2" s="1391"/>
      <c r="I2" s="1391"/>
      <c r="J2" s="103" t="str">
        <f>Head10</f>
        <v>Budget Year +1 2019/20</v>
      </c>
      <c r="K2" s="61" t="str">
        <f>Head11</f>
        <v>Budget Year +2 2020/21</v>
      </c>
    </row>
    <row r="3" spans="1:11" ht="25.5" x14ac:dyDescent="0.25">
      <c r="A3" s="1394"/>
      <c r="B3" s="139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4"/>
      <c r="B4" s="1394"/>
      <c r="C4" s="65"/>
      <c r="D4" s="15">
        <v>2</v>
      </c>
      <c r="E4" s="15">
        <v>3</v>
      </c>
      <c r="F4" s="15">
        <v>4</v>
      </c>
      <c r="G4" s="15">
        <v>5</v>
      </c>
      <c r="H4" s="15">
        <v>6</v>
      </c>
      <c r="I4" s="15">
        <v>7</v>
      </c>
      <c r="J4" s="15"/>
      <c r="K4" s="17"/>
    </row>
    <row r="5" spans="1:11" x14ac:dyDescent="0.25">
      <c r="A5" s="66" t="s">
        <v>605</v>
      </c>
      <c r="B5" s="104"/>
      <c r="C5" s="67" t="s">
        <v>548</v>
      </c>
      <c r="D5" s="68" t="s">
        <v>549</v>
      </c>
      <c r="E5" s="69" t="s">
        <v>550</v>
      </c>
      <c r="F5" s="69" t="s">
        <v>551</v>
      </c>
      <c r="G5" s="70" t="s">
        <v>552</v>
      </c>
      <c r="H5" s="70" t="s">
        <v>553</v>
      </c>
      <c r="I5" s="70" t="s">
        <v>554</v>
      </c>
      <c r="J5" s="70"/>
      <c r="K5" s="71"/>
    </row>
    <row r="6" spans="1:11" ht="12.75" customHeight="1" x14ac:dyDescent="0.25">
      <c r="A6" s="126" t="s">
        <v>1105</v>
      </c>
      <c r="B6" s="73"/>
      <c r="C6" s="240"/>
      <c r="D6" s="75"/>
      <c r="E6" s="75"/>
      <c r="F6" s="75"/>
      <c r="G6" s="75"/>
      <c r="H6" s="75"/>
      <c r="I6" s="75"/>
      <c r="J6" s="75"/>
      <c r="K6" s="76"/>
    </row>
    <row r="7" spans="1:11" ht="12.75" customHeight="1" x14ac:dyDescent="0.25">
      <c r="A7" s="165" t="s">
        <v>154</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v>366610750</v>
      </c>
      <c r="D9" s="109"/>
      <c r="E9" s="109"/>
      <c r="F9" s="109"/>
      <c r="G9" s="109"/>
      <c r="H9" s="75">
        <f>SUM(E9:G9)</f>
        <v>0</v>
      </c>
      <c r="I9" s="75">
        <f>IF(D9=0,C9+H9,D9+H9)</f>
        <v>366610750</v>
      </c>
      <c r="J9" s="109">
        <v>398276150</v>
      </c>
      <c r="K9" s="110">
        <v>429446520</v>
      </c>
    </row>
    <row r="10" spans="1:11" ht="12.75" customHeight="1" x14ac:dyDescent="0.25">
      <c r="A10" s="504" t="s">
        <v>180</v>
      </c>
      <c r="B10" s="149"/>
      <c r="C10" s="492">
        <f t="shared" ref="C10:K10" si="0">C8+C9-C11</f>
        <v>366610750</v>
      </c>
      <c r="D10" s="81">
        <f t="shared" si="0"/>
        <v>0</v>
      </c>
      <c r="E10" s="81">
        <f t="shared" si="0"/>
        <v>0</v>
      </c>
      <c r="F10" s="81">
        <f t="shared" si="0"/>
        <v>0</v>
      </c>
      <c r="G10" s="81">
        <f t="shared" si="0"/>
        <v>0</v>
      </c>
      <c r="H10" s="81">
        <f t="shared" si="0"/>
        <v>0</v>
      </c>
      <c r="I10" s="81">
        <f t="shared" si="0"/>
        <v>366610750</v>
      </c>
      <c r="J10" s="81">
        <f t="shared" si="0"/>
        <v>398276150</v>
      </c>
      <c r="K10" s="82">
        <f t="shared" si="0"/>
        <v>429446520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156</v>
      </c>
      <c r="B12" s="73"/>
      <c r="C12" s="240"/>
      <c r="D12" s="75"/>
      <c r="E12" s="75"/>
      <c r="F12" s="75"/>
      <c r="G12" s="75"/>
      <c r="H12" s="75"/>
      <c r="I12" s="75"/>
      <c r="J12" s="75"/>
      <c r="K12" s="76"/>
    </row>
    <row r="13" spans="1:11" ht="12.75" customHeight="1" x14ac:dyDescent="0.25">
      <c r="A13" s="163" t="s">
        <v>178</v>
      </c>
      <c r="B13" s="73"/>
      <c r="C13" s="389">
        <v>442899</v>
      </c>
      <c r="D13" s="109"/>
      <c r="E13" s="109"/>
      <c r="F13" s="109"/>
      <c r="G13" s="109"/>
      <c r="H13" s="75">
        <f>SUM(E13:G13)</f>
        <v>0</v>
      </c>
      <c r="I13" s="75">
        <f>IF(D13=0,C13+H13,D13+H13)</f>
        <v>442899</v>
      </c>
      <c r="J13" s="109">
        <v>442899</v>
      </c>
      <c r="K13" s="110">
        <v>442899</v>
      </c>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v>442899</v>
      </c>
      <c r="D16" s="109"/>
      <c r="E16" s="109"/>
      <c r="F16" s="109"/>
      <c r="G16" s="109"/>
      <c r="H16" s="75">
        <f>SUM(E16:G16)</f>
        <v>0</v>
      </c>
      <c r="I16" s="75">
        <f>IF(D16=0,C16+H16,D16+H16)</f>
        <v>442899</v>
      </c>
      <c r="J16" s="109">
        <v>442899</v>
      </c>
      <c r="K16" s="110">
        <v>442899</v>
      </c>
    </row>
    <row r="17" spans="1:11" ht="12.75" customHeight="1" x14ac:dyDescent="0.25">
      <c r="A17" s="505" t="s">
        <v>157</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159</v>
      </c>
      <c r="B22" s="73"/>
      <c r="C22" s="240"/>
      <c r="D22" s="75"/>
      <c r="E22" s="75"/>
      <c r="F22" s="75"/>
      <c r="G22" s="75"/>
      <c r="H22" s="75"/>
      <c r="I22" s="75"/>
      <c r="J22" s="75"/>
      <c r="K22" s="76"/>
    </row>
    <row r="23" spans="1:11" ht="12.75" customHeight="1" x14ac:dyDescent="0.25">
      <c r="A23" s="506" t="str">
        <f>A13</f>
        <v>Balance unspent at beginning of the year</v>
      </c>
      <c r="B23" s="73"/>
      <c r="C23" s="389">
        <v>972153</v>
      </c>
      <c r="D23" s="109"/>
      <c r="E23" s="109"/>
      <c r="F23" s="109"/>
      <c r="G23" s="109"/>
      <c r="H23" s="75">
        <f>SUM(E23:G23)</f>
        <v>0</v>
      </c>
      <c r="I23" s="75">
        <f>IF(D23=0,C23+H23,D23+H23)</f>
        <v>972153</v>
      </c>
      <c r="J23" s="109">
        <v>972153</v>
      </c>
      <c r="K23" s="110">
        <v>972153</v>
      </c>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v>972153</v>
      </c>
      <c r="D26" s="109"/>
      <c r="E26" s="109"/>
      <c r="F26" s="109"/>
      <c r="G26" s="109"/>
      <c r="H26" s="75">
        <f>SUM(E26:G26)</f>
        <v>0</v>
      </c>
      <c r="I26" s="75">
        <f>IF(D26=0,C26+H26,D26+H26)</f>
        <v>972153</v>
      </c>
      <c r="J26" s="109">
        <v>972153</v>
      </c>
      <c r="K26" s="110">
        <v>972153</v>
      </c>
    </row>
    <row r="27" spans="1:11" ht="12.75" customHeight="1" x14ac:dyDescent="0.25">
      <c r="A27" s="162" t="s">
        <v>1106</v>
      </c>
      <c r="B27" s="79"/>
      <c r="C27" s="492">
        <f t="shared" ref="C27:K27" si="4">C10+C15+C20+C25</f>
        <v>366610750</v>
      </c>
      <c r="D27" s="81">
        <f t="shared" si="4"/>
        <v>0</v>
      </c>
      <c r="E27" s="81">
        <f t="shared" si="4"/>
        <v>0</v>
      </c>
      <c r="F27" s="81">
        <f t="shared" si="4"/>
        <v>0</v>
      </c>
      <c r="G27" s="81">
        <f t="shared" si="4"/>
        <v>0</v>
      </c>
      <c r="H27" s="81">
        <f t="shared" si="4"/>
        <v>0</v>
      </c>
      <c r="I27" s="81">
        <f t="shared" si="4"/>
        <v>366610750</v>
      </c>
      <c r="J27" s="81">
        <f t="shared" si="4"/>
        <v>398276150</v>
      </c>
      <c r="K27" s="82">
        <f t="shared" si="4"/>
        <v>429446520</v>
      </c>
    </row>
    <row r="28" spans="1:11" ht="12.75" customHeight="1" x14ac:dyDescent="0.25">
      <c r="A28" s="162" t="s">
        <v>1107</v>
      </c>
      <c r="B28" s="79">
        <v>2</v>
      </c>
      <c r="C28" s="492">
        <f t="shared" ref="C28:K28" si="5">C11+C16+C21+C26</f>
        <v>1415052</v>
      </c>
      <c r="D28" s="81">
        <f t="shared" si="5"/>
        <v>0</v>
      </c>
      <c r="E28" s="81">
        <f t="shared" si="5"/>
        <v>0</v>
      </c>
      <c r="F28" s="81">
        <f t="shared" si="5"/>
        <v>0</v>
      </c>
      <c r="G28" s="81">
        <f t="shared" si="5"/>
        <v>0</v>
      </c>
      <c r="H28" s="81">
        <f t="shared" si="5"/>
        <v>0</v>
      </c>
      <c r="I28" s="81">
        <f t="shared" si="5"/>
        <v>1415052</v>
      </c>
      <c r="J28" s="81">
        <f t="shared" si="5"/>
        <v>1415052</v>
      </c>
      <c r="K28" s="82">
        <f t="shared" si="5"/>
        <v>1415052</v>
      </c>
    </row>
    <row r="29" spans="1:11" ht="4.9000000000000004" customHeight="1" x14ac:dyDescent="0.25">
      <c r="A29" s="136"/>
      <c r="B29" s="73"/>
      <c r="C29" s="240"/>
      <c r="D29" s="75"/>
      <c r="E29" s="75"/>
      <c r="F29" s="75"/>
      <c r="G29" s="75"/>
      <c r="H29" s="75"/>
      <c r="I29" s="75"/>
      <c r="J29" s="75"/>
      <c r="K29" s="76"/>
    </row>
    <row r="30" spans="1:11" ht="12.75" customHeight="1" x14ac:dyDescent="0.25">
      <c r="A30" s="126" t="s">
        <v>1108</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v>87699250</v>
      </c>
      <c r="D33" s="109"/>
      <c r="E33" s="109"/>
      <c r="F33" s="109"/>
      <c r="G33" s="109"/>
      <c r="H33" s="75">
        <f>SUM(E33:G33)</f>
        <v>0</v>
      </c>
      <c r="I33" s="75">
        <f>IF(D33=0,C33+H33,D33+H33)</f>
        <v>87699250</v>
      </c>
      <c r="J33" s="109">
        <v>89549850</v>
      </c>
      <c r="K33" s="110">
        <v>94667500</v>
      </c>
    </row>
    <row r="34" spans="1:11" ht="12.75" customHeight="1" x14ac:dyDescent="0.25">
      <c r="A34" s="504" t="s">
        <v>180</v>
      </c>
      <c r="B34" s="149"/>
      <c r="C34" s="492">
        <f t="shared" ref="C34:K34" si="6">C32+C33-C35</f>
        <v>87699250</v>
      </c>
      <c r="D34" s="81">
        <f t="shared" si="6"/>
        <v>0</v>
      </c>
      <c r="E34" s="81">
        <f t="shared" si="6"/>
        <v>0</v>
      </c>
      <c r="F34" s="81">
        <f t="shared" si="6"/>
        <v>0</v>
      </c>
      <c r="G34" s="81">
        <f t="shared" si="6"/>
        <v>0</v>
      </c>
      <c r="H34" s="81">
        <f t="shared" si="6"/>
        <v>0</v>
      </c>
      <c r="I34" s="81">
        <f t="shared" si="6"/>
        <v>87699250</v>
      </c>
      <c r="J34" s="81">
        <f t="shared" si="6"/>
        <v>89549850</v>
      </c>
      <c r="K34" s="82">
        <f t="shared" si="6"/>
        <v>94667500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156</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921"/>
      <c r="D40" s="907"/>
      <c r="E40" s="907"/>
      <c r="F40" s="907"/>
      <c r="G40" s="907"/>
      <c r="H40" s="75">
        <f>SUM(E40:G40)</f>
        <v>0</v>
      </c>
      <c r="I40" s="75">
        <f>IF(D40=0,C40+H40,D40+H40)</f>
        <v>0</v>
      </c>
      <c r="J40" s="907"/>
      <c r="K40" s="908"/>
    </row>
    <row r="41" spans="1:11" ht="12.75" customHeight="1" x14ac:dyDescent="0.25">
      <c r="A41" s="505" t="s">
        <v>157</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159</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1109</v>
      </c>
      <c r="B51" s="79"/>
      <c r="C51" s="492">
        <f t="shared" ref="C51:K51" si="10">C34+C39+C44+C49</f>
        <v>87699250</v>
      </c>
      <c r="D51" s="81">
        <f t="shared" si="10"/>
        <v>0</v>
      </c>
      <c r="E51" s="81">
        <f t="shared" si="10"/>
        <v>0</v>
      </c>
      <c r="F51" s="81">
        <f t="shared" si="10"/>
        <v>0</v>
      </c>
      <c r="G51" s="81">
        <f t="shared" si="10"/>
        <v>0</v>
      </c>
      <c r="H51" s="81">
        <f t="shared" si="10"/>
        <v>0</v>
      </c>
      <c r="I51" s="81">
        <f t="shared" si="10"/>
        <v>87699250</v>
      </c>
      <c r="J51" s="81">
        <f t="shared" si="10"/>
        <v>89549850</v>
      </c>
      <c r="K51" s="82">
        <f t="shared" si="10"/>
        <v>94667500</v>
      </c>
    </row>
    <row r="52" spans="1:13" ht="12.75" customHeight="1" x14ac:dyDescent="0.25">
      <c r="A52" s="162" t="s">
        <v>1110</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1111</v>
      </c>
      <c r="B54" s="79"/>
      <c r="C54" s="492">
        <f t="shared" ref="C54:K54" si="12">C27+C51</f>
        <v>454310000</v>
      </c>
      <c r="D54" s="81">
        <f t="shared" si="12"/>
        <v>0</v>
      </c>
      <c r="E54" s="81">
        <f t="shared" si="12"/>
        <v>0</v>
      </c>
      <c r="F54" s="81">
        <f t="shared" si="12"/>
        <v>0</v>
      </c>
      <c r="G54" s="81">
        <f t="shared" si="12"/>
        <v>0</v>
      </c>
      <c r="H54" s="81">
        <f t="shared" si="12"/>
        <v>0</v>
      </c>
      <c r="I54" s="81">
        <f t="shared" si="12"/>
        <v>454310000</v>
      </c>
      <c r="J54" s="81">
        <f t="shared" si="12"/>
        <v>487826000</v>
      </c>
      <c r="K54" s="82">
        <f t="shared" si="12"/>
        <v>524114020</v>
      </c>
    </row>
    <row r="55" spans="1:13" ht="12.75" customHeight="1" x14ac:dyDescent="0.25">
      <c r="A55" s="296" t="s">
        <v>1112</v>
      </c>
      <c r="B55" s="88"/>
      <c r="C55" s="89">
        <f t="shared" ref="C55:K55" si="13">C28+C52</f>
        <v>1415052</v>
      </c>
      <c r="D55" s="90">
        <f t="shared" si="13"/>
        <v>0</v>
      </c>
      <c r="E55" s="90">
        <f t="shared" si="13"/>
        <v>0</v>
      </c>
      <c r="F55" s="90">
        <f t="shared" si="13"/>
        <v>0</v>
      </c>
      <c r="G55" s="90">
        <f t="shared" si="13"/>
        <v>0</v>
      </c>
      <c r="H55" s="90">
        <f t="shared" si="13"/>
        <v>0</v>
      </c>
      <c r="I55" s="90">
        <f t="shared" si="13"/>
        <v>1415052</v>
      </c>
      <c r="J55" s="90">
        <f t="shared" si="13"/>
        <v>1415052</v>
      </c>
      <c r="K55" s="91">
        <f t="shared" si="13"/>
        <v>1415052</v>
      </c>
    </row>
    <row r="56" spans="1:13" ht="5.25" customHeight="1" x14ac:dyDescent="0.25">
      <c r="A56" s="507"/>
      <c r="B56" s="793"/>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389" t="s">
        <v>994</v>
      </c>
      <c r="B60" s="1389"/>
      <c r="C60" s="1389"/>
      <c r="D60" s="1389"/>
      <c r="E60" s="1389"/>
      <c r="F60" s="1389"/>
      <c r="G60" s="1389"/>
      <c r="H60" s="1389"/>
      <c r="I60" s="1389"/>
      <c r="J60" s="1389"/>
      <c r="K60" s="1389"/>
    </row>
    <row r="61" spans="1:13" ht="12.75" customHeight="1" x14ac:dyDescent="0.25">
      <c r="A61" s="99" t="s">
        <v>752</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389" t="s">
        <v>185</v>
      </c>
      <c r="B63" s="1389"/>
      <c r="C63" s="1389"/>
      <c r="D63" s="1389"/>
      <c r="E63" s="1389"/>
      <c r="F63" s="1389"/>
      <c r="G63" s="1389"/>
      <c r="H63" s="1389"/>
      <c r="I63" s="1389"/>
      <c r="J63" s="1389"/>
      <c r="K63" s="1389"/>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25" sqref="L25:M26"/>
    </sheetView>
  </sheetViews>
  <sheetFormatPr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LIM333 Greater Tzaneen - Supporting Table SB10 Adjustments Budget - transfers and grants made by the municipality - 27/02/2019</v>
      </c>
      <c r="B1" s="5"/>
      <c r="C1" s="58"/>
    </row>
    <row r="2" spans="1:13"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3"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4"/>
      <c r="B4" s="1394"/>
      <c r="C4" s="65"/>
      <c r="D4" s="15">
        <v>6</v>
      </c>
      <c r="E4" s="15">
        <v>7</v>
      </c>
      <c r="F4" s="15">
        <v>8</v>
      </c>
      <c r="G4" s="15">
        <v>9</v>
      </c>
      <c r="H4" s="15">
        <v>10</v>
      </c>
      <c r="I4" s="15">
        <v>11</v>
      </c>
      <c r="J4" s="15">
        <v>12</v>
      </c>
      <c r="K4" s="15">
        <v>13</v>
      </c>
      <c r="L4" s="15"/>
      <c r="M4" s="17"/>
    </row>
    <row r="5" spans="1:13" x14ac:dyDescent="0.25">
      <c r="A5" s="66" t="s">
        <v>605</v>
      </c>
      <c r="B5" s="104"/>
      <c r="C5" s="67" t="s">
        <v>548</v>
      </c>
      <c r="D5" s="68" t="s">
        <v>549</v>
      </c>
      <c r="E5" s="68" t="s">
        <v>550</v>
      </c>
      <c r="F5" s="69" t="s">
        <v>551</v>
      </c>
      <c r="G5" s="69" t="s">
        <v>552</v>
      </c>
      <c r="H5" s="69" t="s">
        <v>553</v>
      </c>
      <c r="I5" s="70" t="s">
        <v>554</v>
      </c>
      <c r="J5" s="70" t="s">
        <v>555</v>
      </c>
      <c r="K5" s="70" t="s">
        <v>556</v>
      </c>
      <c r="L5" s="70"/>
      <c r="M5" s="71"/>
    </row>
    <row r="6" spans="1:13" ht="12.75" customHeight="1" x14ac:dyDescent="0.25">
      <c r="A6" s="126" t="s">
        <v>1421</v>
      </c>
      <c r="B6" s="73"/>
      <c r="C6" s="74"/>
      <c r="D6" s="75"/>
      <c r="E6" s="75"/>
      <c r="F6" s="75"/>
      <c r="G6" s="75"/>
      <c r="H6" s="75"/>
      <c r="I6" s="75"/>
      <c r="J6" s="75"/>
      <c r="K6" s="75"/>
      <c r="L6" s="75"/>
      <c r="M6" s="76"/>
    </row>
    <row r="7" spans="1:13" ht="12.75" customHeight="1" x14ac:dyDescent="0.25">
      <c r="A7" s="293" t="s">
        <v>158</v>
      </c>
      <c r="B7" s="73">
        <v>1</v>
      </c>
      <c r="C7" s="130"/>
      <c r="D7" s="109"/>
      <c r="E7" s="109"/>
      <c r="F7" s="109"/>
      <c r="G7" s="109"/>
      <c r="H7" s="109"/>
      <c r="I7" s="109"/>
      <c r="J7" s="75">
        <f>SUM(E7:I7)</f>
        <v>0</v>
      </c>
      <c r="K7" s="75">
        <f>IF(D7=0,C7+J7,D7+J7)</f>
        <v>0</v>
      </c>
      <c r="L7" s="109"/>
      <c r="M7" s="110"/>
    </row>
    <row r="8" spans="1:13" ht="12.75" customHeight="1" x14ac:dyDescent="0.25">
      <c r="A8" s="293" t="s">
        <v>158</v>
      </c>
      <c r="B8" s="73"/>
      <c r="C8" s="130"/>
      <c r="D8" s="109"/>
      <c r="E8" s="109"/>
      <c r="F8" s="109"/>
      <c r="G8" s="109"/>
      <c r="H8" s="109"/>
      <c r="I8" s="109"/>
      <c r="J8" s="75">
        <f>SUM(E8:I8)</f>
        <v>0</v>
      </c>
      <c r="K8" s="75">
        <f>IF(D8=0,C8+J8,D8+J8)</f>
        <v>0</v>
      </c>
      <c r="L8" s="109"/>
      <c r="M8" s="110"/>
    </row>
    <row r="9" spans="1:13" ht="12.75" customHeight="1" x14ac:dyDescent="0.25">
      <c r="A9" s="293" t="s">
        <v>158</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1422</v>
      </c>
      <c r="B12" s="137"/>
      <c r="C12" s="74"/>
      <c r="D12" s="75"/>
      <c r="E12" s="75"/>
      <c r="F12" s="75"/>
      <c r="G12" s="75"/>
      <c r="H12" s="75"/>
      <c r="I12" s="75"/>
      <c r="J12" s="75"/>
      <c r="K12" s="75"/>
      <c r="L12" s="75"/>
      <c r="M12" s="76"/>
    </row>
    <row r="13" spans="1:13" ht="12.75" customHeight="1" x14ac:dyDescent="0.25">
      <c r="A13" s="293" t="s">
        <v>1952</v>
      </c>
      <c r="B13" s="137">
        <v>2</v>
      </c>
      <c r="C13" s="130">
        <v>23651000</v>
      </c>
      <c r="D13" s="109"/>
      <c r="E13" s="109"/>
      <c r="F13" s="109"/>
      <c r="G13" s="109"/>
      <c r="H13" s="109"/>
      <c r="I13" s="109"/>
      <c r="J13" s="75">
        <f>SUM(E13:I13)</f>
        <v>0</v>
      </c>
      <c r="K13" s="75">
        <f>IF(D13=0,C13+J13,D13+J13)</f>
        <v>23651000</v>
      </c>
      <c r="L13" s="109">
        <v>18145000</v>
      </c>
      <c r="M13" s="110">
        <v>14645000</v>
      </c>
    </row>
    <row r="14" spans="1:13" ht="12.75" customHeight="1" x14ac:dyDescent="0.25">
      <c r="A14" s="293" t="s">
        <v>158</v>
      </c>
      <c r="B14" s="137"/>
      <c r="C14" s="130"/>
      <c r="D14" s="109"/>
      <c r="E14" s="109"/>
      <c r="F14" s="109"/>
      <c r="G14" s="109"/>
      <c r="H14" s="109"/>
      <c r="I14" s="109"/>
      <c r="J14" s="75">
        <f>SUM(E14:I14)</f>
        <v>0</v>
      </c>
      <c r="K14" s="75">
        <f>IF(D14=0,C14+J14,D14+J14)</f>
        <v>0</v>
      </c>
      <c r="L14" s="109"/>
      <c r="M14" s="110"/>
    </row>
    <row r="15" spans="1:13" ht="12.75" customHeight="1" x14ac:dyDescent="0.25">
      <c r="A15" s="293" t="s">
        <v>158</v>
      </c>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23651000</v>
      </c>
      <c r="D16" s="81">
        <f t="shared" si="1"/>
        <v>0</v>
      </c>
      <c r="E16" s="81">
        <f t="shared" si="1"/>
        <v>0</v>
      </c>
      <c r="F16" s="81">
        <f t="shared" si="1"/>
        <v>0</v>
      </c>
      <c r="G16" s="81">
        <f t="shared" si="1"/>
        <v>0</v>
      </c>
      <c r="H16" s="81">
        <f t="shared" si="1"/>
        <v>0</v>
      </c>
      <c r="I16" s="81">
        <f t="shared" si="1"/>
        <v>0</v>
      </c>
      <c r="J16" s="81">
        <f t="shared" si="1"/>
        <v>0</v>
      </c>
      <c r="K16" s="81">
        <f t="shared" si="1"/>
        <v>23651000</v>
      </c>
      <c r="L16" s="81">
        <f t="shared" si="1"/>
        <v>18145000</v>
      </c>
      <c r="M16" s="82">
        <f t="shared" si="1"/>
        <v>14645000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1423</v>
      </c>
      <c r="B18" s="137"/>
      <c r="C18" s="74"/>
      <c r="D18" s="75"/>
      <c r="E18" s="75"/>
      <c r="F18" s="75"/>
      <c r="G18" s="75"/>
      <c r="H18" s="75"/>
      <c r="I18" s="75"/>
      <c r="J18" s="75"/>
      <c r="K18" s="75"/>
      <c r="L18" s="75"/>
      <c r="M18" s="76"/>
    </row>
    <row r="19" spans="1:13" ht="12.75" customHeight="1" x14ac:dyDescent="0.25">
      <c r="A19" s="293" t="s">
        <v>1953</v>
      </c>
      <c r="B19" s="137">
        <v>3</v>
      </c>
      <c r="C19" s="130">
        <v>4000000</v>
      </c>
      <c r="D19" s="109"/>
      <c r="E19" s="109"/>
      <c r="F19" s="109"/>
      <c r="G19" s="109"/>
      <c r="H19" s="109"/>
      <c r="I19" s="109"/>
      <c r="J19" s="75">
        <f>SUM(E19:I19)</f>
        <v>0</v>
      </c>
      <c r="K19" s="75">
        <f>IF(D19=0,C19+J19,D19+J19)</f>
        <v>4000000</v>
      </c>
      <c r="L19" s="109">
        <v>4220000</v>
      </c>
      <c r="M19" s="110">
        <v>4452100</v>
      </c>
    </row>
    <row r="20" spans="1:13" ht="12.75" customHeight="1" x14ac:dyDescent="0.25">
      <c r="A20" s="293" t="s">
        <v>158</v>
      </c>
      <c r="B20" s="137"/>
      <c r="C20" s="130"/>
      <c r="D20" s="109"/>
      <c r="E20" s="109"/>
      <c r="F20" s="109"/>
      <c r="G20" s="109"/>
      <c r="H20" s="109"/>
      <c r="I20" s="109"/>
      <c r="J20" s="75">
        <f>SUM(E20:I20)</f>
        <v>0</v>
      </c>
      <c r="K20" s="75">
        <f>IF(D20=0,C20+J20,D20+J20)</f>
        <v>0</v>
      </c>
      <c r="L20" s="109"/>
      <c r="M20" s="110"/>
    </row>
    <row r="21" spans="1:13" ht="12.75" customHeight="1" x14ac:dyDescent="0.25">
      <c r="A21" s="293" t="s">
        <v>158</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4000000</v>
      </c>
      <c r="D22" s="81">
        <f t="shared" si="2"/>
        <v>0</v>
      </c>
      <c r="E22" s="81">
        <f t="shared" si="2"/>
        <v>0</v>
      </c>
      <c r="F22" s="81">
        <f t="shared" si="2"/>
        <v>0</v>
      </c>
      <c r="G22" s="81">
        <f t="shared" si="2"/>
        <v>0</v>
      </c>
      <c r="H22" s="81">
        <f t="shared" si="2"/>
        <v>0</v>
      </c>
      <c r="I22" s="81">
        <f t="shared" si="2"/>
        <v>0</v>
      </c>
      <c r="J22" s="81">
        <f t="shared" si="2"/>
        <v>0</v>
      </c>
      <c r="K22" s="81">
        <f t="shared" si="2"/>
        <v>4000000</v>
      </c>
      <c r="L22" s="81">
        <f t="shared" si="2"/>
        <v>4220000</v>
      </c>
      <c r="M22" s="82">
        <f t="shared" si="2"/>
        <v>4452100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1424</v>
      </c>
      <c r="B24" s="137"/>
      <c r="C24" s="74"/>
      <c r="D24" s="75"/>
      <c r="E24" s="75"/>
      <c r="F24" s="75"/>
      <c r="G24" s="75"/>
      <c r="H24" s="75"/>
      <c r="I24" s="75"/>
      <c r="J24" s="75"/>
      <c r="K24" s="75"/>
      <c r="L24" s="75"/>
      <c r="M24" s="76"/>
    </row>
    <row r="25" spans="1:13" ht="12.75" customHeight="1" x14ac:dyDescent="0.25">
      <c r="A25" s="293" t="s">
        <v>1954</v>
      </c>
      <c r="B25" s="137">
        <v>4</v>
      </c>
      <c r="C25" s="130">
        <v>45000</v>
      </c>
      <c r="D25" s="109"/>
      <c r="E25" s="109"/>
      <c r="F25" s="109"/>
      <c r="G25" s="109"/>
      <c r="H25" s="109"/>
      <c r="I25" s="109"/>
      <c r="J25" s="75">
        <f>SUM(E25:I25)</f>
        <v>0</v>
      </c>
      <c r="K25" s="75">
        <f>IF(D25=0,C25+J25,D25+J25)</f>
        <v>45000</v>
      </c>
      <c r="L25" s="109">
        <v>47475</v>
      </c>
      <c r="M25" s="110">
        <v>50086.125</v>
      </c>
    </row>
    <row r="26" spans="1:13" ht="12.75" customHeight="1" x14ac:dyDescent="0.25">
      <c r="A26" s="293" t="s">
        <v>1955</v>
      </c>
      <c r="B26" s="137"/>
      <c r="C26" s="130">
        <v>1508673</v>
      </c>
      <c r="D26" s="109"/>
      <c r="E26" s="109"/>
      <c r="F26" s="109"/>
      <c r="G26" s="109"/>
      <c r="H26" s="109"/>
      <c r="I26" s="109"/>
      <c r="J26" s="75">
        <f>SUM(E26:I26)</f>
        <v>0</v>
      </c>
      <c r="K26" s="75">
        <f>IF(D26=0,C26+J26,D26+J26)</f>
        <v>1508673</v>
      </c>
      <c r="L26" s="109">
        <v>1595070.0149999999</v>
      </c>
      <c r="M26" s="110">
        <v>1685558.865825</v>
      </c>
    </row>
    <row r="27" spans="1:13" ht="12.75" customHeight="1" x14ac:dyDescent="0.25">
      <c r="A27" s="293" t="s">
        <v>158</v>
      </c>
      <c r="B27" s="137"/>
      <c r="C27" s="130"/>
      <c r="D27" s="109"/>
      <c r="E27" s="109"/>
      <c r="F27" s="109"/>
      <c r="G27" s="109"/>
      <c r="H27" s="109"/>
      <c r="I27" s="109"/>
      <c r="J27" s="75">
        <f>SUM(E27:I27)</f>
        <v>0</v>
      </c>
      <c r="K27" s="75">
        <f>IF(D27=0,C27+J27,D27+J27)</f>
        <v>0</v>
      </c>
      <c r="L27" s="109"/>
      <c r="M27" s="110"/>
    </row>
    <row r="28" spans="1:13" ht="12.75" customHeight="1" x14ac:dyDescent="0.25">
      <c r="A28" s="162" t="s">
        <v>1425</v>
      </c>
      <c r="B28" s="79"/>
      <c r="C28" s="80">
        <f t="shared" ref="C28:M28" si="3">SUM(C25:C27)</f>
        <v>1553673</v>
      </c>
      <c r="D28" s="81">
        <f t="shared" si="3"/>
        <v>0</v>
      </c>
      <c r="E28" s="81">
        <f t="shared" si="3"/>
        <v>0</v>
      </c>
      <c r="F28" s="81">
        <f t="shared" si="3"/>
        <v>0</v>
      </c>
      <c r="G28" s="81">
        <f t="shared" si="3"/>
        <v>0</v>
      </c>
      <c r="H28" s="81">
        <f t="shared" si="3"/>
        <v>0</v>
      </c>
      <c r="I28" s="81">
        <f t="shared" si="3"/>
        <v>0</v>
      </c>
      <c r="J28" s="81">
        <f t="shared" si="3"/>
        <v>0</v>
      </c>
      <c r="K28" s="81">
        <f t="shared" si="3"/>
        <v>1553673</v>
      </c>
      <c r="L28" s="81">
        <f t="shared" si="3"/>
        <v>1642545.0149999999</v>
      </c>
      <c r="M28" s="82">
        <f t="shared" si="3"/>
        <v>1735644.990825</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1426</v>
      </c>
      <c r="B30" s="105">
        <v>5</v>
      </c>
      <c r="C30" s="150">
        <f t="shared" ref="C30:M30" si="4">C10+C16+C22+C28</f>
        <v>29204673</v>
      </c>
      <c r="D30" s="151">
        <f t="shared" si="4"/>
        <v>0</v>
      </c>
      <c r="E30" s="151">
        <f t="shared" si="4"/>
        <v>0</v>
      </c>
      <c r="F30" s="151">
        <f t="shared" si="4"/>
        <v>0</v>
      </c>
      <c r="G30" s="151">
        <f t="shared" si="4"/>
        <v>0</v>
      </c>
      <c r="H30" s="151">
        <f t="shared" si="4"/>
        <v>0</v>
      </c>
      <c r="I30" s="151">
        <f t="shared" si="4"/>
        <v>0</v>
      </c>
      <c r="J30" s="151">
        <f t="shared" si="4"/>
        <v>0</v>
      </c>
      <c r="K30" s="151">
        <f t="shared" si="4"/>
        <v>29204673</v>
      </c>
      <c r="L30" s="151">
        <f t="shared" si="4"/>
        <v>24007545.015000001</v>
      </c>
      <c r="M30" s="152">
        <f t="shared" si="4"/>
        <v>20832744.990825001</v>
      </c>
    </row>
    <row r="31" spans="1:13" ht="12.75" customHeight="1" x14ac:dyDescent="0.25">
      <c r="A31" s="1051"/>
      <c r="B31" s="1052"/>
      <c r="C31" s="1053"/>
      <c r="D31" s="1053"/>
      <c r="E31" s="1053"/>
      <c r="F31" s="1053"/>
      <c r="G31" s="1053"/>
      <c r="H31" s="1053"/>
      <c r="I31" s="1053"/>
      <c r="J31" s="1053"/>
      <c r="K31" s="1053"/>
      <c r="L31" s="1053"/>
      <c r="M31" s="1053"/>
    </row>
    <row r="32" spans="1:13" ht="12.75" customHeight="1" x14ac:dyDescent="0.25">
      <c r="A32" s="126" t="s">
        <v>1427</v>
      </c>
      <c r="B32" s="73"/>
      <c r="C32" s="74"/>
      <c r="D32" s="75"/>
      <c r="E32" s="75"/>
      <c r="F32" s="75"/>
      <c r="G32" s="75"/>
      <c r="H32" s="75"/>
      <c r="I32" s="75"/>
      <c r="J32" s="75"/>
      <c r="K32" s="75"/>
      <c r="L32" s="75"/>
      <c r="M32" s="76"/>
    </row>
    <row r="33" spans="1:13" ht="12.75" customHeight="1" x14ac:dyDescent="0.25">
      <c r="A33" s="293" t="s">
        <v>158</v>
      </c>
      <c r="B33" s="73">
        <v>1</v>
      </c>
      <c r="C33" s="130"/>
      <c r="D33" s="109"/>
      <c r="E33" s="109"/>
      <c r="F33" s="109"/>
      <c r="G33" s="109"/>
      <c r="H33" s="109"/>
      <c r="I33" s="109"/>
      <c r="J33" s="75">
        <f>SUM(E33:I33)</f>
        <v>0</v>
      </c>
      <c r="K33" s="75">
        <f>IF(D33=0,C33+J33,D33+J33)</f>
        <v>0</v>
      </c>
      <c r="L33" s="109"/>
      <c r="M33" s="110"/>
    </row>
    <row r="34" spans="1:13" ht="12.75" customHeight="1" x14ac:dyDescent="0.25">
      <c r="A34" s="293" t="s">
        <v>158</v>
      </c>
      <c r="B34" s="73"/>
      <c r="C34" s="130"/>
      <c r="D34" s="109"/>
      <c r="E34" s="109"/>
      <c r="F34" s="109"/>
      <c r="G34" s="109"/>
      <c r="H34" s="109"/>
      <c r="I34" s="109"/>
      <c r="J34" s="75">
        <f>SUM(E34:I34)</f>
        <v>0</v>
      </c>
      <c r="K34" s="75">
        <f>IF(D34=0,C34+J34,D34+J34)</f>
        <v>0</v>
      </c>
      <c r="L34" s="109"/>
      <c r="M34" s="110"/>
    </row>
    <row r="35" spans="1:13" ht="12.75" customHeight="1" x14ac:dyDescent="0.25">
      <c r="A35" s="293" t="s">
        <v>158</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1428</v>
      </c>
      <c r="B38" s="137"/>
      <c r="C38" s="74"/>
      <c r="D38" s="75"/>
      <c r="E38" s="75"/>
      <c r="F38" s="75"/>
      <c r="G38" s="75"/>
      <c r="H38" s="75"/>
      <c r="I38" s="75"/>
      <c r="J38" s="75"/>
      <c r="K38" s="75"/>
      <c r="L38" s="75"/>
      <c r="M38" s="76"/>
    </row>
    <row r="39" spans="1:13" ht="12.75" customHeight="1" x14ac:dyDescent="0.25">
      <c r="A39" s="293" t="s">
        <v>158</v>
      </c>
      <c r="B39" s="137">
        <v>2</v>
      </c>
      <c r="C39" s="130"/>
      <c r="D39" s="109"/>
      <c r="E39" s="109"/>
      <c r="F39" s="109"/>
      <c r="G39" s="109"/>
      <c r="H39" s="109"/>
      <c r="I39" s="109"/>
      <c r="J39" s="75">
        <f>SUM(E39:I39)</f>
        <v>0</v>
      </c>
      <c r="K39" s="75">
        <f>IF(D39=0,C39+J39,D39+J39)</f>
        <v>0</v>
      </c>
      <c r="L39" s="109"/>
      <c r="M39" s="110"/>
    </row>
    <row r="40" spans="1:13" ht="12.75" customHeight="1" x14ac:dyDescent="0.25">
      <c r="A40" s="293" t="s">
        <v>158</v>
      </c>
      <c r="B40" s="137"/>
      <c r="C40" s="130"/>
      <c r="D40" s="109"/>
      <c r="E40" s="109"/>
      <c r="F40" s="109"/>
      <c r="G40" s="109"/>
      <c r="H40" s="109"/>
      <c r="I40" s="109"/>
      <c r="J40" s="75">
        <f>SUM(E40:I40)</f>
        <v>0</v>
      </c>
      <c r="K40" s="75">
        <f>IF(D40=0,C40+J40,D40+J40)</f>
        <v>0</v>
      </c>
      <c r="L40" s="109"/>
      <c r="M40" s="110"/>
    </row>
    <row r="41" spans="1:13" ht="12.75" customHeight="1" x14ac:dyDescent="0.25">
      <c r="A41" s="293" t="s">
        <v>158</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1429</v>
      </c>
      <c r="B44" s="137"/>
      <c r="C44" s="74"/>
      <c r="D44" s="75"/>
      <c r="E44" s="75"/>
      <c r="F44" s="75"/>
      <c r="G44" s="75"/>
      <c r="H44" s="75"/>
      <c r="I44" s="75"/>
      <c r="J44" s="75"/>
      <c r="K44" s="75"/>
      <c r="L44" s="75"/>
      <c r="M44" s="76"/>
    </row>
    <row r="45" spans="1:13" ht="11.25" customHeight="1" x14ac:dyDescent="0.25">
      <c r="A45" s="293" t="s">
        <v>158</v>
      </c>
      <c r="B45" s="137">
        <v>3</v>
      </c>
      <c r="C45" s="130"/>
      <c r="D45" s="109"/>
      <c r="E45" s="109"/>
      <c r="F45" s="109"/>
      <c r="G45" s="109"/>
      <c r="H45" s="109"/>
      <c r="I45" s="109"/>
      <c r="J45" s="75">
        <f>SUM(E45:I45)</f>
        <v>0</v>
      </c>
      <c r="K45" s="75">
        <f>IF(D45=0,C45+J45,D45+J45)</f>
        <v>0</v>
      </c>
      <c r="L45" s="109"/>
      <c r="M45" s="110"/>
    </row>
    <row r="46" spans="1:13" ht="11.25" customHeight="1" x14ac:dyDescent="0.25">
      <c r="A46" s="293" t="s">
        <v>158</v>
      </c>
      <c r="B46" s="137"/>
      <c r="C46" s="130"/>
      <c r="D46" s="109"/>
      <c r="E46" s="109"/>
      <c r="F46" s="109"/>
      <c r="G46" s="109"/>
      <c r="H46" s="109"/>
      <c r="I46" s="109"/>
      <c r="J46" s="75">
        <f>SUM(E46:I46)</f>
        <v>0</v>
      </c>
      <c r="K46" s="75">
        <f>IF(D46=0,C46+J46,D46+J46)</f>
        <v>0</v>
      </c>
      <c r="L46" s="109"/>
      <c r="M46" s="110"/>
    </row>
    <row r="47" spans="1:13" ht="11.25" customHeight="1" x14ac:dyDescent="0.25">
      <c r="A47" s="293" t="s">
        <v>158</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1430</v>
      </c>
      <c r="B50" s="137"/>
      <c r="C50" s="74"/>
      <c r="D50" s="75"/>
      <c r="E50" s="75"/>
      <c r="F50" s="75"/>
      <c r="G50" s="75"/>
      <c r="H50" s="75"/>
      <c r="I50" s="75"/>
      <c r="J50" s="75"/>
      <c r="K50" s="75"/>
      <c r="L50" s="75"/>
      <c r="M50" s="76"/>
    </row>
    <row r="51" spans="1:13" ht="11.25" customHeight="1" x14ac:dyDescent="0.25">
      <c r="A51" s="293" t="s">
        <v>158</v>
      </c>
      <c r="B51" s="137">
        <v>4</v>
      </c>
      <c r="C51" s="130"/>
      <c r="D51" s="109"/>
      <c r="E51" s="109"/>
      <c r="F51" s="109"/>
      <c r="G51" s="109"/>
      <c r="H51" s="109"/>
      <c r="I51" s="109"/>
      <c r="J51" s="75">
        <f>SUM(E51:I51)</f>
        <v>0</v>
      </c>
      <c r="K51" s="75">
        <f>IF(D51=0,C51+J51,D51+J51)</f>
        <v>0</v>
      </c>
      <c r="L51" s="109"/>
      <c r="M51" s="110"/>
    </row>
    <row r="52" spans="1:13" ht="11.25" customHeight="1" x14ac:dyDescent="0.25">
      <c r="A52" s="293" t="s">
        <v>158</v>
      </c>
      <c r="B52" s="137"/>
      <c r="C52" s="130"/>
      <c r="D52" s="109"/>
      <c r="E52" s="109"/>
      <c r="F52" s="109"/>
      <c r="G52" s="109"/>
      <c r="H52" s="109"/>
      <c r="I52" s="109"/>
      <c r="J52" s="75">
        <f>SUM(E52:I52)</f>
        <v>0</v>
      </c>
      <c r="K52" s="75">
        <f>IF(D52=0,C52+J52,D52+J52)</f>
        <v>0</v>
      </c>
      <c r="L52" s="109"/>
      <c r="M52" s="110"/>
    </row>
    <row r="53" spans="1:13" ht="11.25" customHeight="1" x14ac:dyDescent="0.25">
      <c r="A53" s="293" t="s">
        <v>158</v>
      </c>
      <c r="B53" s="137"/>
      <c r="C53" s="130"/>
      <c r="D53" s="109"/>
      <c r="E53" s="109"/>
      <c r="F53" s="109"/>
      <c r="G53" s="109"/>
      <c r="H53" s="109"/>
      <c r="I53" s="109"/>
      <c r="J53" s="75">
        <f>SUM(E53:I53)</f>
        <v>0</v>
      </c>
      <c r="K53" s="75">
        <f>IF(D53=0,C53+J53,D53+J53)</f>
        <v>0</v>
      </c>
      <c r="L53" s="109"/>
      <c r="M53" s="110"/>
    </row>
    <row r="54" spans="1:13" ht="23.25" customHeight="1" x14ac:dyDescent="0.25">
      <c r="A54" s="1054" t="s">
        <v>1431</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5" t="s">
        <v>1432</v>
      </c>
      <c r="B56" s="1056">
        <v>5</v>
      </c>
      <c r="C56" s="1057">
        <f t="shared" ref="C56:M56" si="9">C35+C41+C47+C53</f>
        <v>0</v>
      </c>
      <c r="D56" s="783">
        <f t="shared" si="9"/>
        <v>0</v>
      </c>
      <c r="E56" s="783">
        <f t="shared" si="9"/>
        <v>0</v>
      </c>
      <c r="F56" s="783">
        <f t="shared" si="9"/>
        <v>0</v>
      </c>
      <c r="G56" s="783">
        <f t="shared" si="9"/>
        <v>0</v>
      </c>
      <c r="H56" s="783">
        <f t="shared" si="9"/>
        <v>0</v>
      </c>
      <c r="I56" s="783">
        <f t="shared" si="9"/>
        <v>0</v>
      </c>
      <c r="J56" s="783">
        <f t="shared" si="9"/>
        <v>0</v>
      </c>
      <c r="K56" s="783">
        <f t="shared" si="9"/>
        <v>0</v>
      </c>
      <c r="L56" s="783">
        <f t="shared" si="9"/>
        <v>0</v>
      </c>
      <c r="M56" s="785">
        <f t="shared" si="9"/>
        <v>0</v>
      </c>
    </row>
    <row r="57" spans="1:13" ht="11.25" customHeight="1" x14ac:dyDescent="0.25">
      <c r="A57" s="155" t="s">
        <v>1433</v>
      </c>
      <c r="B57" s="156"/>
      <c r="C57" s="157">
        <f>C30+C56</f>
        <v>29204673</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29204673</v>
      </c>
      <c r="L57" s="117">
        <f t="shared" si="10"/>
        <v>24007545.015000001</v>
      </c>
      <c r="M57" s="118">
        <f t="shared" si="10"/>
        <v>20832744.990825001</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1195</v>
      </c>
      <c r="B65" s="98"/>
      <c r="C65" s="98"/>
      <c r="D65" s="98"/>
      <c r="E65" s="98"/>
      <c r="F65" s="98"/>
      <c r="G65" s="98"/>
      <c r="H65" s="98"/>
      <c r="I65" s="98"/>
      <c r="J65" s="98"/>
      <c r="K65" s="98"/>
      <c r="L65" s="98"/>
      <c r="M65" s="98"/>
    </row>
    <row r="66" spans="1:13" ht="11.25" customHeight="1" x14ac:dyDescent="0.25">
      <c r="A66" s="98" t="s">
        <v>1196</v>
      </c>
      <c r="B66" s="98"/>
      <c r="C66" s="98"/>
      <c r="D66" s="98"/>
      <c r="E66" s="98"/>
      <c r="F66" s="98"/>
      <c r="G66" s="98"/>
      <c r="H66" s="98"/>
      <c r="I66" s="98"/>
      <c r="J66" s="98"/>
      <c r="K66" s="98"/>
      <c r="L66" s="98"/>
      <c r="M66" s="98"/>
    </row>
    <row r="67" spans="1:13" ht="25.5" x14ac:dyDescent="0.25">
      <c r="A67" s="98" t="s">
        <v>1197</v>
      </c>
      <c r="B67" s="98"/>
      <c r="C67" s="98"/>
      <c r="D67" s="98"/>
      <c r="E67" s="98"/>
      <c r="F67" s="98"/>
      <c r="G67" s="98"/>
      <c r="H67" s="98"/>
      <c r="I67" s="98"/>
      <c r="J67" s="98"/>
      <c r="K67" s="98"/>
      <c r="L67" s="98"/>
      <c r="M67" s="98"/>
    </row>
    <row r="68" spans="1:13" x14ac:dyDescent="0.25">
      <c r="A68" s="99" t="s">
        <v>1198</v>
      </c>
      <c r="B68" s="93"/>
      <c r="C68" s="96"/>
      <c r="D68" s="96"/>
      <c r="E68" s="96"/>
      <c r="F68" s="96"/>
      <c r="G68" s="96"/>
      <c r="H68" s="96"/>
      <c r="I68" s="96"/>
      <c r="J68" s="96"/>
      <c r="K68" s="96"/>
      <c r="L68" s="96"/>
      <c r="M68" s="96"/>
    </row>
    <row r="69" spans="1:13" ht="63.75" x14ac:dyDescent="0.25">
      <c r="A69" s="98" t="s">
        <v>1207</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1209</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71" customWidth="1"/>
    <col min="2" max="2" width="92.140625" style="660" customWidth="1"/>
    <col min="3" max="3" width="18.7109375" style="660" customWidth="1"/>
    <col min="4" max="4" width="16.42578125" style="660" customWidth="1"/>
    <col min="5" max="5" width="78.7109375" style="660" bestFit="1" customWidth="1"/>
    <col min="6" max="6" width="70.28515625" style="660" bestFit="1" customWidth="1"/>
    <col min="7" max="16384" width="9.140625" style="660"/>
  </cols>
  <sheetData>
    <row r="1" spans="1:4" x14ac:dyDescent="0.2">
      <c r="A1" s="1361" t="s">
        <v>282</v>
      </c>
      <c r="B1" s="1362"/>
      <c r="C1" s="1362"/>
      <c r="D1" s="1363"/>
    </row>
    <row r="2" spans="1:4" x14ac:dyDescent="0.2">
      <c r="A2" s="796" t="s">
        <v>283</v>
      </c>
      <c r="B2" s="797" t="str">
        <f>HLOOKUP(MTREF,Headings,2)</f>
        <v>2017/18</v>
      </c>
      <c r="C2" s="798" t="s">
        <v>284</v>
      </c>
      <c r="D2" s="799"/>
    </row>
    <row r="3" spans="1:4" x14ac:dyDescent="0.2">
      <c r="A3" s="800" t="s">
        <v>285</v>
      </c>
      <c r="B3" s="801" t="str">
        <f>HLOOKUP(MTREF,Headings,3)</f>
        <v>2016/17</v>
      </c>
      <c r="C3" s="802" t="s">
        <v>286</v>
      </c>
      <c r="D3" s="803"/>
    </row>
    <row r="4" spans="1:4" x14ac:dyDescent="0.2">
      <c r="A4" s="800" t="s">
        <v>287</v>
      </c>
      <c r="B4" s="801" t="str">
        <f>HLOOKUP(MTREF,Headings,4)</f>
        <v>2015/16</v>
      </c>
      <c r="C4" s="802" t="s">
        <v>288</v>
      </c>
      <c r="D4" s="803"/>
    </row>
    <row r="5" spans="1:4" x14ac:dyDescent="0.2">
      <c r="A5" s="800" t="s">
        <v>289</v>
      </c>
      <c r="B5" s="802" t="str">
        <f>HLOOKUP(MTREF,Headings,7)</f>
        <v>Budget Year 2018/19</v>
      </c>
      <c r="C5" s="802" t="s">
        <v>290</v>
      </c>
      <c r="D5" s="803"/>
    </row>
    <row r="6" spans="1:4" x14ac:dyDescent="0.2">
      <c r="A6" s="800" t="s">
        <v>291</v>
      </c>
      <c r="B6" s="802" t="str">
        <f>HLOOKUP(MTREF,Headings,6)</f>
        <v>2018/19</v>
      </c>
      <c r="C6" s="802" t="s">
        <v>292</v>
      </c>
      <c r="D6" s="803"/>
    </row>
    <row r="7" spans="1:4" x14ac:dyDescent="0.2">
      <c r="A7" s="800" t="s">
        <v>293</v>
      </c>
      <c r="B7" s="802" t="str">
        <f>HLOOKUP(MTREF,Headings,5)</f>
        <v>2018/19 Medium Term Revenue &amp; Expenditure Framework</v>
      </c>
      <c r="C7" s="802" t="s">
        <v>294</v>
      </c>
      <c r="D7" s="803"/>
    </row>
    <row r="8" spans="1:4" x14ac:dyDescent="0.2">
      <c r="A8" s="668" t="s">
        <v>295</v>
      </c>
      <c r="B8" s="659" t="s">
        <v>227</v>
      </c>
      <c r="C8" s="659"/>
      <c r="D8" s="669"/>
    </row>
    <row r="9" spans="1:4" x14ac:dyDescent="0.2">
      <c r="A9" s="668" t="s">
        <v>296</v>
      </c>
      <c r="B9" s="659" t="s">
        <v>297</v>
      </c>
      <c r="C9" s="659"/>
      <c r="D9" s="669"/>
    </row>
    <row r="10" spans="1:4" x14ac:dyDescent="0.2">
      <c r="A10" s="668" t="s">
        <v>304</v>
      </c>
      <c r="B10" s="659" t="s">
        <v>305</v>
      </c>
      <c r="C10" s="659"/>
      <c r="D10" s="669"/>
    </row>
    <row r="11" spans="1:4" x14ac:dyDescent="0.2">
      <c r="A11" s="668" t="s">
        <v>306</v>
      </c>
      <c r="B11" s="659" t="s">
        <v>307</v>
      </c>
      <c r="C11" s="659"/>
      <c r="D11" s="669"/>
    </row>
    <row r="12" spans="1:4" x14ac:dyDescent="0.2">
      <c r="A12" s="668" t="s">
        <v>308</v>
      </c>
      <c r="B12" s="659" t="s">
        <v>309</v>
      </c>
      <c r="C12" s="659"/>
      <c r="D12" s="669"/>
    </row>
    <row r="13" spans="1:4" x14ac:dyDescent="0.2">
      <c r="A13" s="668" t="s">
        <v>310</v>
      </c>
      <c r="B13" s="659" t="s">
        <v>311</v>
      </c>
      <c r="C13" s="659"/>
      <c r="D13" s="669"/>
    </row>
    <row r="14" spans="1:4" x14ac:dyDescent="0.2">
      <c r="A14" s="668" t="s">
        <v>312</v>
      </c>
      <c r="B14" s="659" t="s">
        <v>241</v>
      </c>
      <c r="C14" s="659"/>
      <c r="D14" s="669"/>
    </row>
    <row r="15" spans="1:4" x14ac:dyDescent="0.2">
      <c r="A15" s="668" t="s">
        <v>313</v>
      </c>
      <c r="B15" s="659" t="s">
        <v>314</v>
      </c>
      <c r="C15" s="659"/>
      <c r="D15" s="669"/>
    </row>
    <row r="16" spans="1:4" x14ac:dyDescent="0.2">
      <c r="A16" s="800" t="s">
        <v>315</v>
      </c>
      <c r="B16" s="802" t="str">
        <f>HLOOKUP(MTREF,Headings,7)</f>
        <v>Budget Year 2018/19</v>
      </c>
      <c r="C16" s="802" t="s">
        <v>316</v>
      </c>
      <c r="D16" s="804" t="s">
        <v>317</v>
      </c>
    </row>
    <row r="17" spans="1:4" x14ac:dyDescent="0.2">
      <c r="A17" s="800" t="s">
        <v>318</v>
      </c>
      <c r="B17" s="802" t="str">
        <f>HLOOKUP(MTREF,Headings,8)</f>
        <v>Budget Year +1 2019/20</v>
      </c>
      <c r="C17" s="802" t="s">
        <v>319</v>
      </c>
      <c r="D17" s="804" t="s">
        <v>320</v>
      </c>
    </row>
    <row r="18" spans="1:4" x14ac:dyDescent="0.2">
      <c r="A18" s="800" t="s">
        <v>321</v>
      </c>
      <c r="B18" s="802" t="str">
        <f>HLOOKUP(MTREF,Headings,9)</f>
        <v>Budget Year +2 2020/21</v>
      </c>
      <c r="C18" s="802" t="s">
        <v>322</v>
      </c>
      <c r="D18" s="804" t="s">
        <v>323</v>
      </c>
    </row>
    <row r="19" spans="1:4" x14ac:dyDescent="0.2">
      <c r="A19" s="668" t="s">
        <v>324</v>
      </c>
      <c r="B19" s="659" t="s">
        <v>248</v>
      </c>
      <c r="C19" s="659"/>
      <c r="D19" s="670" t="s">
        <v>325</v>
      </c>
    </row>
    <row r="20" spans="1:4" x14ac:dyDescent="0.2">
      <c r="A20" s="668" t="s">
        <v>326</v>
      </c>
      <c r="B20" s="659" t="s">
        <v>327</v>
      </c>
      <c r="C20" s="659"/>
      <c r="D20" s="670" t="s">
        <v>328</v>
      </c>
    </row>
    <row r="21" spans="1:4" x14ac:dyDescent="0.2">
      <c r="A21" s="668" t="s">
        <v>329</v>
      </c>
      <c r="B21" s="659" t="s">
        <v>330</v>
      </c>
      <c r="C21" s="659"/>
      <c r="D21" s="670"/>
    </row>
    <row r="22" spans="1:4" x14ac:dyDescent="0.2">
      <c r="A22" s="668" t="s">
        <v>331</v>
      </c>
      <c r="B22" s="659" t="s">
        <v>519</v>
      </c>
      <c r="C22" s="659"/>
      <c r="D22" s="670"/>
    </row>
    <row r="23" spans="1:4" x14ac:dyDescent="0.2">
      <c r="A23" s="668" t="s">
        <v>332</v>
      </c>
      <c r="B23" s="659" t="s">
        <v>575</v>
      </c>
      <c r="C23" s="659"/>
      <c r="D23" s="670" t="s">
        <v>333</v>
      </c>
    </row>
    <row r="24" spans="1:4" x14ac:dyDescent="0.2">
      <c r="A24" s="668" t="s">
        <v>334</v>
      </c>
      <c r="B24" s="659" t="s">
        <v>278</v>
      </c>
      <c r="C24" s="659"/>
      <c r="D24" s="670"/>
    </row>
    <row r="25" spans="1:4" x14ac:dyDescent="0.2">
      <c r="A25" s="668" t="s">
        <v>335</v>
      </c>
      <c r="B25" s="659" t="s">
        <v>336</v>
      </c>
      <c r="C25" s="659"/>
      <c r="D25" s="670"/>
    </row>
    <row r="26" spans="1:4" x14ac:dyDescent="0.2">
      <c r="A26" s="668" t="s">
        <v>337</v>
      </c>
      <c r="B26" s="659" t="s">
        <v>338</v>
      </c>
      <c r="C26" s="659"/>
      <c r="D26" s="670"/>
    </row>
    <row r="27" spans="1:4" x14ac:dyDescent="0.2">
      <c r="A27" s="668" t="s">
        <v>339</v>
      </c>
      <c r="B27" s="659" t="s">
        <v>340</v>
      </c>
      <c r="C27" s="659"/>
      <c r="D27" s="670"/>
    </row>
    <row r="28" spans="1:4" x14ac:dyDescent="0.2">
      <c r="A28" s="668" t="s">
        <v>341</v>
      </c>
      <c r="B28" s="659" t="s">
        <v>342</v>
      </c>
      <c r="C28" s="659"/>
      <c r="D28" s="670"/>
    </row>
    <row r="29" spans="1:4" x14ac:dyDescent="0.2">
      <c r="A29" s="668" t="s">
        <v>343</v>
      </c>
      <c r="B29" s="659" t="s">
        <v>344</v>
      </c>
      <c r="C29" s="659"/>
      <c r="D29" s="670"/>
    </row>
    <row r="30" spans="1:4" x14ac:dyDescent="0.2">
      <c r="A30" s="668" t="s">
        <v>345</v>
      </c>
      <c r="B30" s="659" t="s">
        <v>346</v>
      </c>
      <c r="C30" s="659"/>
      <c r="D30" s="670"/>
    </row>
    <row r="31" spans="1:4" x14ac:dyDescent="0.2">
      <c r="A31" s="668" t="s">
        <v>347</v>
      </c>
      <c r="B31" s="659" t="s">
        <v>348</v>
      </c>
      <c r="C31" s="659"/>
      <c r="D31" s="670"/>
    </row>
    <row r="32" spans="1:4" x14ac:dyDescent="0.2">
      <c r="A32" s="668" t="s">
        <v>349</v>
      </c>
      <c r="B32" s="659" t="s">
        <v>350</v>
      </c>
      <c r="C32" s="659"/>
      <c r="D32" s="670"/>
    </row>
    <row r="33" spans="1:4" x14ac:dyDescent="0.2">
      <c r="A33" s="668" t="s">
        <v>351</v>
      </c>
      <c r="B33" s="659" t="s">
        <v>352</v>
      </c>
      <c r="C33" s="659"/>
      <c r="D33" s="670"/>
    </row>
    <row r="34" spans="1:4" x14ac:dyDescent="0.2">
      <c r="A34" s="668" t="s">
        <v>353</v>
      </c>
      <c r="B34" s="659" t="s">
        <v>354</v>
      </c>
      <c r="C34" s="659"/>
      <c r="D34" s="670"/>
    </row>
    <row r="35" spans="1:4" x14ac:dyDescent="0.2">
      <c r="A35" s="668" t="s">
        <v>355</v>
      </c>
      <c r="B35" s="658" t="s">
        <v>356</v>
      </c>
      <c r="C35" s="659"/>
      <c r="D35" s="670"/>
    </row>
    <row r="36" spans="1:4" x14ac:dyDescent="0.2">
      <c r="A36" s="668" t="s">
        <v>357</v>
      </c>
      <c r="B36" s="658" t="s">
        <v>358</v>
      </c>
      <c r="C36" s="659"/>
      <c r="D36" s="670"/>
    </row>
    <row r="37" spans="1:4" x14ac:dyDescent="0.2">
      <c r="A37" s="668" t="s">
        <v>359</v>
      </c>
      <c r="B37" s="658" t="s">
        <v>360</v>
      </c>
      <c r="C37" s="659"/>
      <c r="D37" s="670"/>
    </row>
    <row r="38" spans="1:4" x14ac:dyDescent="0.2">
      <c r="A38" s="668" t="s">
        <v>361</v>
      </c>
      <c r="B38" s="658" t="str">
        <f>Head3&amp;" Summary"</f>
        <v>2018/19 Medium Term Revenue &amp; Expenditure Framework Summary</v>
      </c>
      <c r="C38" s="659"/>
      <c r="D38" s="670"/>
    </row>
    <row r="39" spans="1:4" x14ac:dyDescent="0.2">
      <c r="A39" s="668" t="s">
        <v>362</v>
      </c>
      <c r="B39" s="1194" t="s">
        <v>364</v>
      </c>
      <c r="C39" s="659"/>
      <c r="D39" s="670"/>
    </row>
    <row r="40" spans="1:4" x14ac:dyDescent="0.2">
      <c r="A40" s="668" t="s">
        <v>363</v>
      </c>
      <c r="B40" s="1194" t="s">
        <v>1477</v>
      </c>
      <c r="C40" s="659"/>
      <c r="D40" s="670"/>
    </row>
    <row r="41" spans="1:4" x14ac:dyDescent="0.2">
      <c r="A41" s="668" t="s">
        <v>365</v>
      </c>
      <c r="B41" s="1195" t="s">
        <v>1478</v>
      </c>
      <c r="C41" s="661"/>
      <c r="D41" s="670"/>
    </row>
    <row r="42" spans="1:4" x14ac:dyDescent="0.2">
      <c r="A42" s="668" t="s">
        <v>366</v>
      </c>
      <c r="B42" s="1194" t="s">
        <v>367</v>
      </c>
      <c r="C42" s="659"/>
      <c r="D42" s="670"/>
    </row>
    <row r="43" spans="1:4" x14ac:dyDescent="0.2">
      <c r="A43" s="668" t="s">
        <v>368</v>
      </c>
      <c r="B43" s="1194" t="s">
        <v>369</v>
      </c>
      <c r="C43" s="659"/>
      <c r="D43" s="670"/>
    </row>
    <row r="44" spans="1:4" x14ac:dyDescent="0.2">
      <c r="A44" s="668" t="s">
        <v>370</v>
      </c>
      <c r="B44" s="1196"/>
      <c r="C44" s="659"/>
      <c r="D44" s="670"/>
    </row>
    <row r="45" spans="1:4" x14ac:dyDescent="0.2">
      <c r="A45" s="668" t="s">
        <v>371</v>
      </c>
      <c r="B45" s="1194" t="s">
        <v>372</v>
      </c>
      <c r="C45" s="659"/>
      <c r="D45" s="670"/>
    </row>
    <row r="46" spans="1:4" x14ac:dyDescent="0.2">
      <c r="A46" s="668" t="s">
        <v>373</v>
      </c>
      <c r="B46" s="1194" t="s">
        <v>374</v>
      </c>
      <c r="C46" s="659"/>
      <c r="D46" s="670"/>
    </row>
    <row r="47" spans="1:4" x14ac:dyDescent="0.2">
      <c r="A47" s="668" t="s">
        <v>375</v>
      </c>
      <c r="B47" s="1194" t="s">
        <v>376</v>
      </c>
      <c r="C47" s="659"/>
      <c r="D47" s="670"/>
    </row>
    <row r="48" spans="1:4" x14ac:dyDescent="0.2">
      <c r="A48" s="668" t="s">
        <v>377</v>
      </c>
      <c r="B48" s="1194" t="s">
        <v>378</v>
      </c>
      <c r="C48" s="659"/>
      <c r="D48" s="670"/>
    </row>
    <row r="49" spans="1:4" x14ac:dyDescent="0.2">
      <c r="A49" s="668" t="s">
        <v>379</v>
      </c>
      <c r="B49" s="1194" t="s">
        <v>380</v>
      </c>
      <c r="C49" s="659"/>
      <c r="D49" s="670"/>
    </row>
    <row r="50" spans="1:4" x14ac:dyDescent="0.2">
      <c r="A50" s="668" t="s">
        <v>381</v>
      </c>
      <c r="B50" s="1194" t="s">
        <v>382</v>
      </c>
      <c r="C50" s="659"/>
      <c r="D50" s="670"/>
    </row>
    <row r="51" spans="1:4" x14ac:dyDescent="0.2">
      <c r="A51" s="668" t="s">
        <v>383</v>
      </c>
      <c r="B51" s="1194" t="s">
        <v>384</v>
      </c>
      <c r="C51" s="659"/>
      <c r="D51" s="670"/>
    </row>
    <row r="52" spans="1:4" x14ac:dyDescent="0.2">
      <c r="A52" s="668" t="s">
        <v>385</v>
      </c>
      <c r="B52" s="658" t="s">
        <v>386</v>
      </c>
      <c r="C52" s="659"/>
      <c r="D52" s="670"/>
    </row>
    <row r="53" spans="1:4" x14ac:dyDescent="0.2">
      <c r="A53" s="668" t="s">
        <v>387</v>
      </c>
      <c r="B53" s="658" t="s">
        <v>388</v>
      </c>
      <c r="C53" s="659"/>
      <c r="D53" s="670"/>
    </row>
    <row r="54" spans="1:4" x14ac:dyDescent="0.2">
      <c r="A54" s="668" t="s">
        <v>389</v>
      </c>
      <c r="B54" s="658" t="s">
        <v>390</v>
      </c>
      <c r="C54" s="659"/>
      <c r="D54" s="670"/>
    </row>
    <row r="55" spans="1:4" x14ac:dyDescent="0.2">
      <c r="A55" s="668" t="s">
        <v>391</v>
      </c>
      <c r="B55" s="658" t="s">
        <v>392</v>
      </c>
      <c r="C55" s="659"/>
      <c r="D55" s="670"/>
    </row>
    <row r="56" spans="1:4" x14ac:dyDescent="0.2">
      <c r="A56" s="668" t="s">
        <v>393</v>
      </c>
      <c r="B56" s="658" t="s">
        <v>394</v>
      </c>
      <c r="C56" s="659"/>
      <c r="D56" s="670"/>
    </row>
    <row r="57" spans="1:4" x14ac:dyDescent="0.2">
      <c r="A57" s="668" t="s">
        <v>395</v>
      </c>
      <c r="B57" s="658" t="s">
        <v>396</v>
      </c>
      <c r="C57" s="659"/>
      <c r="D57" s="670"/>
    </row>
    <row r="58" spans="1:4" x14ac:dyDescent="0.2">
      <c r="A58" s="668" t="s">
        <v>397</v>
      </c>
      <c r="B58" s="658" t="s">
        <v>398</v>
      </c>
      <c r="C58" s="659"/>
      <c r="D58" s="670"/>
    </row>
    <row r="59" spans="1:4" x14ac:dyDescent="0.2">
      <c r="A59" s="668" t="s">
        <v>399</v>
      </c>
      <c r="B59" s="658" t="s">
        <v>400</v>
      </c>
      <c r="C59" s="659"/>
      <c r="D59" s="670"/>
    </row>
    <row r="60" spans="1:4" x14ac:dyDescent="0.2">
      <c r="A60" s="668" t="s">
        <v>401</v>
      </c>
      <c r="B60" s="658" t="s">
        <v>402</v>
      </c>
      <c r="C60" s="659"/>
      <c r="D60" s="670"/>
    </row>
    <row r="61" spans="1:4" x14ac:dyDescent="0.2">
      <c r="A61" s="668" t="s">
        <v>403</v>
      </c>
      <c r="B61" s="658" t="s">
        <v>404</v>
      </c>
      <c r="C61" s="659"/>
      <c r="D61" s="670"/>
    </row>
    <row r="62" spans="1:4" x14ac:dyDescent="0.2">
      <c r="A62" s="1364" t="s">
        <v>405</v>
      </c>
      <c r="B62" s="1365"/>
      <c r="C62" s="1365"/>
      <c r="D62" s="1366"/>
    </row>
    <row r="63" spans="1:4" x14ac:dyDescent="0.2">
      <c r="A63" s="805" t="s">
        <v>406</v>
      </c>
      <c r="B63" s="681" t="str">
        <f>'Lookup and lists'!B28</f>
        <v>LIM333 Greater Tzaneen</v>
      </c>
      <c r="C63" s="681"/>
      <c r="D63" s="671"/>
    </row>
    <row r="64" spans="1:4" x14ac:dyDescent="0.2">
      <c r="A64" s="805" t="s">
        <v>223</v>
      </c>
      <c r="B64" s="806">
        <v>2</v>
      </c>
      <c r="C64" s="681" t="s">
        <v>224</v>
      </c>
      <c r="D64" s="671">
        <v>1</v>
      </c>
    </row>
    <row r="65" spans="1:6" x14ac:dyDescent="0.2">
      <c r="A65" s="709" t="str">
        <f>IF((MuniEntities=1)*(MuniType=2),"YES","NO")</f>
        <v>NO</v>
      </c>
      <c r="B65" s="2" t="s">
        <v>407</v>
      </c>
      <c r="C65" s="682"/>
      <c r="D65" s="671"/>
    </row>
    <row r="66" spans="1:6" x14ac:dyDescent="0.2">
      <c r="A66" s="1367" t="s">
        <v>408</v>
      </c>
      <c r="B66" s="1368"/>
      <c r="C66" s="672"/>
      <c r="D66" s="672"/>
      <c r="E66" s="673" t="s">
        <v>409</v>
      </c>
      <c r="F66" s="673" t="s">
        <v>410</v>
      </c>
    </row>
    <row r="67" spans="1:6" x14ac:dyDescent="0.2">
      <c r="A67" s="668" t="s">
        <v>411</v>
      </c>
      <c r="B67" s="659" t="str">
        <f t="shared" ref="B67:B100" si="0">D67&amp;IF(Consolques="YES",E67,F67)</f>
        <v>Table B1 Adjustments Budget Summary</v>
      </c>
      <c r="C67" s="659"/>
      <c r="D67" s="674" t="s">
        <v>412</v>
      </c>
      <c r="E67" s="660" t="str">
        <f>"Consolidated "&amp;F67</f>
        <v>Consolidated Adjustments Budget Summary</v>
      </c>
      <c r="F67" s="660" t="str">
        <f>"Adjustments Budget Summary"</f>
        <v>Adjustments Budget Summary</v>
      </c>
    </row>
    <row r="68" spans="1:6" x14ac:dyDescent="0.2">
      <c r="A68" s="668" t="s">
        <v>413</v>
      </c>
      <c r="B68" s="659" t="str">
        <f t="shared" si="0"/>
        <v>Table B3 Adjustments Budget Financial Performance (revenue and expenditure by municipal vote)</v>
      </c>
      <c r="C68" s="659"/>
      <c r="D68" s="674" t="s">
        <v>416</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415</v>
      </c>
      <c r="B69" s="659" t="str">
        <f t="shared" si="0"/>
        <v>Table B2 Adjustments Budget Financial Performance (functional classification)</v>
      </c>
      <c r="C69" s="659"/>
      <c r="D69" s="674" t="s">
        <v>414</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417</v>
      </c>
      <c r="B70" s="659" t="str">
        <f t="shared" si="0"/>
        <v>Table B4 Adjustments Budget Financial Performance (revenue and expenditure)</v>
      </c>
      <c r="C70" s="659"/>
      <c r="D70" s="674" t="s">
        <v>418</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419</v>
      </c>
      <c r="B71" s="659" t="str">
        <f t="shared" si="0"/>
        <v>Table B5 Adjustments Capital Expenditure Budget by vote and funding</v>
      </c>
      <c r="C71" s="659"/>
      <c r="D71" s="674" t="s">
        <v>420</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421</v>
      </c>
      <c r="B72" s="659" t="str">
        <f t="shared" si="0"/>
        <v>Table B6 Adjustments Budget Financial Position</v>
      </c>
      <c r="C72" s="659"/>
      <c r="D72" s="674" t="s">
        <v>422</v>
      </c>
      <c r="E72" s="660" t="str">
        <f t="shared" si="1"/>
        <v>Consolidated Adjustments Budget Financial Position</v>
      </c>
      <c r="F72" s="660" t="str">
        <f>"Adjustments Budget Financial Position"</f>
        <v>Adjustments Budget Financial Position</v>
      </c>
    </row>
    <row r="73" spans="1:6" x14ac:dyDescent="0.2">
      <c r="A73" s="668" t="s">
        <v>423</v>
      </c>
      <c r="B73" s="659" t="str">
        <f t="shared" si="0"/>
        <v>Table B7 Adjustments Budget Cash Flows</v>
      </c>
      <c r="C73" s="659"/>
      <c r="D73" s="674" t="s">
        <v>424</v>
      </c>
      <c r="E73" s="660" t="str">
        <f t="shared" si="1"/>
        <v>Consolidated Adjustments Budget Cash Flows</v>
      </c>
      <c r="F73" s="660" t="str">
        <f>"Adjustments Budget Cash Flows"</f>
        <v>Adjustments Budget Cash Flows</v>
      </c>
    </row>
    <row r="74" spans="1:6" x14ac:dyDescent="0.2">
      <c r="A74" s="668" t="s">
        <v>425</v>
      </c>
      <c r="B74" s="659" t="str">
        <f t="shared" si="0"/>
        <v>Table B8 Cash backed reserves/accumulated surplus reconciliation</v>
      </c>
      <c r="C74" s="659"/>
      <c r="D74" s="674" t="s">
        <v>426</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427</v>
      </c>
      <c r="B75" s="659" t="str">
        <f t="shared" si="0"/>
        <v>Table B9 Asset Management</v>
      </c>
      <c r="C75" s="659"/>
      <c r="D75" s="674" t="s">
        <v>428</v>
      </c>
      <c r="E75" s="660" t="str">
        <f t="shared" si="1"/>
        <v>Consolidated Asset Management</v>
      </c>
      <c r="F75" s="660" t="str">
        <f>"Asset Management"</f>
        <v>Asset Management</v>
      </c>
    </row>
    <row r="76" spans="1:6" x14ac:dyDescent="0.2">
      <c r="A76" s="668" t="s">
        <v>429</v>
      </c>
      <c r="B76" s="659" t="str">
        <f t="shared" si="0"/>
        <v>Table B10 Basic service delivery measurement</v>
      </c>
      <c r="C76" s="659"/>
      <c r="D76" s="674" t="s">
        <v>430</v>
      </c>
      <c r="E76" s="660" t="str">
        <f t="shared" si="1"/>
        <v>Consolidated Basic service delivery measurement</v>
      </c>
      <c r="F76" s="660" t="str">
        <f>"Basic service delivery measurement"</f>
        <v>Basic service delivery measurement</v>
      </c>
    </row>
    <row r="77" spans="1:6" x14ac:dyDescent="0.2">
      <c r="A77" s="668" t="s">
        <v>431</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432</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433</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434</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435</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436</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437</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438</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439</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440</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441</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442</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443</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444</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445</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446</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447</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1186</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1187</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1188</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1348</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1707</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448</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449</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450</v>
      </c>
    </row>
    <row r="101" spans="1:6" x14ac:dyDescent="0.2">
      <c r="A101" s="660"/>
      <c r="D101" s="660" t="s">
        <v>451</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33" activePane="bottomRight" state="frozen"/>
      <selection activeCell="C227" sqref="C227"/>
      <selection pane="topRight" activeCell="C227" sqref="C227"/>
      <selection pane="bottomLeft" activeCell="C227" sqref="C227"/>
      <selection pane="bottomRight" activeCell="I7" sqref="I7"/>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LIM333 Greater Tzaneen - Supporting Table SB11 Adjustments Budget - councillor and staff benefits - 27/02/2019</v>
      </c>
      <c r="B1" s="5"/>
      <c r="C1" s="58"/>
    </row>
    <row r="2" spans="1:14" x14ac:dyDescent="0.25">
      <c r="A2" s="1398" t="s">
        <v>195</v>
      </c>
      <c r="B2" s="1393" t="str">
        <f>head27</f>
        <v>Ref</v>
      </c>
      <c r="C2" s="1390" t="str">
        <f>Head2</f>
        <v>Budget Year 2018/19</v>
      </c>
      <c r="D2" s="1391"/>
      <c r="E2" s="1391"/>
      <c r="F2" s="1391"/>
      <c r="G2" s="1391"/>
      <c r="H2" s="1391"/>
      <c r="I2" s="1391"/>
      <c r="J2" s="1391"/>
      <c r="K2" s="1442"/>
      <c r="L2" s="509"/>
    </row>
    <row r="3" spans="1:14" ht="25.5" x14ac:dyDescent="0.25">
      <c r="A3" s="1399"/>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605</v>
      </c>
      <c r="B5" s="104"/>
      <c r="C5" s="67" t="s">
        <v>548</v>
      </c>
      <c r="D5" s="68" t="s">
        <v>549</v>
      </c>
      <c r="E5" s="68" t="s">
        <v>550</v>
      </c>
      <c r="F5" s="69" t="s">
        <v>551</v>
      </c>
      <c r="G5" s="69" t="s">
        <v>552</v>
      </c>
      <c r="H5" s="69" t="s">
        <v>553</v>
      </c>
      <c r="I5" s="70" t="s">
        <v>554</v>
      </c>
      <c r="J5" s="512" t="s">
        <v>555</v>
      </c>
      <c r="K5" s="513" t="s">
        <v>556</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27425152</v>
      </c>
      <c r="D7" s="109"/>
      <c r="E7" s="516"/>
      <c r="F7" s="516"/>
      <c r="G7" s="109"/>
      <c r="H7" s="516"/>
      <c r="I7" s="109">
        <v>625000</v>
      </c>
      <c r="J7" s="515">
        <f t="shared" ref="J7:J13" si="0">G7+I7</f>
        <v>625000</v>
      </c>
      <c r="K7" s="515">
        <f t="shared" ref="K7:K13" si="1">IF(D7=0,C7+J7,D7+J7)</f>
        <v>28050152</v>
      </c>
      <c r="L7" s="517">
        <f>IF(K7=0,"",(K7/C7)-1)</f>
        <v>2.2789299399325058E-2</v>
      </c>
    </row>
    <row r="8" spans="1:14" ht="12.75" customHeight="1" x14ac:dyDescent="0.25">
      <c r="A8" s="595" t="s">
        <v>1394</v>
      </c>
      <c r="B8" s="73"/>
      <c r="C8" s="130"/>
      <c r="D8" s="109"/>
      <c r="E8" s="516"/>
      <c r="F8" s="516"/>
      <c r="G8" s="109"/>
      <c r="H8" s="516"/>
      <c r="I8" s="109"/>
      <c r="J8" s="515">
        <f t="shared" si="0"/>
        <v>0</v>
      </c>
      <c r="K8" s="515">
        <f t="shared" si="1"/>
        <v>0</v>
      </c>
      <c r="L8" s="517" t="str">
        <f>IF(K8=0,"",(K8/C8)-1)</f>
        <v/>
      </c>
    </row>
    <row r="9" spans="1:14" ht="12.75" customHeight="1" x14ac:dyDescent="0.25">
      <c r="A9" s="595" t="s">
        <v>198</v>
      </c>
      <c r="B9" s="73"/>
      <c r="C9" s="130"/>
      <c r="D9" s="109"/>
      <c r="E9" s="516"/>
      <c r="F9" s="516"/>
      <c r="G9" s="109"/>
      <c r="H9" s="516"/>
      <c r="I9" s="109"/>
      <c r="J9" s="515">
        <f t="shared" si="0"/>
        <v>0</v>
      </c>
      <c r="K9" s="515">
        <f t="shared" si="1"/>
        <v>0</v>
      </c>
      <c r="L9" s="517" t="str">
        <f>IF(K9=0,"",(K9/C9)-1)</f>
        <v/>
      </c>
    </row>
    <row r="10" spans="1:14" ht="12.75" customHeight="1" x14ac:dyDescent="0.25">
      <c r="A10" s="595" t="s">
        <v>1395</v>
      </c>
      <c r="B10" s="73"/>
      <c r="C10" s="130"/>
      <c r="D10" s="109"/>
      <c r="E10" s="516"/>
      <c r="F10" s="516"/>
      <c r="G10" s="109"/>
      <c r="H10" s="516"/>
      <c r="I10" s="109"/>
      <c r="J10" s="515">
        <f t="shared" si="0"/>
        <v>0</v>
      </c>
      <c r="K10" s="515">
        <f t="shared" si="1"/>
        <v>0</v>
      </c>
      <c r="L10" s="517" t="str">
        <f>IF(K10=0,"",(K10/C10)-1)</f>
        <v/>
      </c>
    </row>
    <row r="11" spans="1:14" ht="12.75" customHeight="1" x14ac:dyDescent="0.25">
      <c r="A11" s="129" t="s">
        <v>1396</v>
      </c>
      <c r="B11" s="73"/>
      <c r="C11" s="130"/>
      <c r="D11" s="109"/>
      <c r="E11" s="516"/>
      <c r="F11" s="516"/>
      <c r="G11" s="109"/>
      <c r="H11" s="516"/>
      <c r="I11" s="109"/>
      <c r="J11" s="515">
        <f t="shared" si="0"/>
        <v>0</v>
      </c>
      <c r="K11" s="515">
        <f t="shared" si="1"/>
        <v>0</v>
      </c>
      <c r="L11" s="517"/>
    </row>
    <row r="12" spans="1:14" ht="12.75" customHeight="1" x14ac:dyDescent="0.25">
      <c r="A12" s="129" t="s">
        <v>1397</v>
      </c>
      <c r="B12" s="73"/>
      <c r="C12" s="130"/>
      <c r="D12" s="109"/>
      <c r="E12" s="516"/>
      <c r="F12" s="516"/>
      <c r="G12" s="109"/>
      <c r="H12" s="516"/>
      <c r="I12" s="109"/>
      <c r="J12" s="515">
        <f t="shared" si="0"/>
        <v>0</v>
      </c>
      <c r="K12" s="515">
        <f t="shared" si="1"/>
        <v>0</v>
      </c>
      <c r="L12" s="517"/>
      <c r="N12" s="128"/>
    </row>
    <row r="13" spans="1:14" ht="12.75" customHeight="1" x14ac:dyDescent="0.25">
      <c r="A13" s="129" t="s">
        <v>1199</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27425152</v>
      </c>
      <c r="D14" s="151">
        <f>SUM(D7:D13)</f>
        <v>0</v>
      </c>
      <c r="E14" s="518"/>
      <c r="F14" s="518"/>
      <c r="G14" s="151">
        <f>SUM(G7:G13)</f>
        <v>0</v>
      </c>
      <c r="H14" s="518"/>
      <c r="I14" s="151">
        <f>SUM(I7:I13)</f>
        <v>625000</v>
      </c>
      <c r="J14" s="151">
        <f>SUM(J7:J13)</f>
        <v>625000</v>
      </c>
      <c r="K14" s="152">
        <f>SUM(K7:K13)</f>
        <v>28050152</v>
      </c>
      <c r="L14" s="519">
        <f>IF(K14=0,"",(K14/C14)-1)</f>
        <v>2.2789299399325058E-2</v>
      </c>
    </row>
    <row r="15" spans="1:14" ht="12.75" customHeight="1" x14ac:dyDescent="0.25">
      <c r="A15" s="833" t="s">
        <v>200</v>
      </c>
      <c r="B15" s="73"/>
      <c r="C15" s="520"/>
      <c r="D15" s="141">
        <f>IF(ISERROR((D14/C14)-1),0,((D14/C14)-1))</f>
        <v>-1</v>
      </c>
      <c r="E15" s="521"/>
      <c r="F15" s="521"/>
      <c r="G15" s="521"/>
      <c r="H15" s="521"/>
      <c r="I15" s="521"/>
      <c r="J15" s="522"/>
      <c r="K15" s="523">
        <f>IF(ISERROR((K14/J14)-1),0,((K14/J14)-1))</f>
        <v>43.880243200000002</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9944696</v>
      </c>
      <c r="D18" s="109"/>
      <c r="E18" s="109"/>
      <c r="F18" s="516"/>
      <c r="G18" s="109"/>
      <c r="H18" s="516"/>
      <c r="I18" s="109"/>
      <c r="J18" s="515">
        <f t="shared" ref="J18:J29" si="2">E18+G18+I18</f>
        <v>0</v>
      </c>
      <c r="K18" s="515">
        <f t="shared" ref="K18:K29" si="3">IF(D18=0,C18+J18,D18+J18)</f>
        <v>9944696</v>
      </c>
      <c r="L18" s="517">
        <f t="shared" ref="L18:L30" si="4">IF(K18=0,"",(K18/C18)-1)</f>
        <v>0</v>
      </c>
    </row>
    <row r="19" spans="1:12" ht="12.75" customHeight="1" x14ac:dyDescent="0.25">
      <c r="A19" s="129" t="s">
        <v>1394</v>
      </c>
      <c r="B19" s="73"/>
      <c r="C19" s="130"/>
      <c r="D19" s="109"/>
      <c r="E19" s="109"/>
      <c r="F19" s="516"/>
      <c r="G19" s="109"/>
      <c r="H19" s="516"/>
      <c r="I19" s="109"/>
      <c r="J19" s="515">
        <f t="shared" si="2"/>
        <v>0</v>
      </c>
      <c r="K19" s="515">
        <f t="shared" si="3"/>
        <v>0</v>
      </c>
      <c r="L19" s="517" t="str">
        <f t="shared" si="4"/>
        <v/>
      </c>
    </row>
    <row r="20" spans="1:12" ht="12.75" customHeight="1" x14ac:dyDescent="0.25">
      <c r="A20" s="129" t="s">
        <v>198</v>
      </c>
      <c r="B20" s="73"/>
      <c r="C20" s="130"/>
      <c r="D20" s="109"/>
      <c r="E20" s="109"/>
      <c r="F20" s="516"/>
      <c r="G20" s="109"/>
      <c r="H20" s="516"/>
      <c r="I20" s="109"/>
      <c r="J20" s="515">
        <f t="shared" si="2"/>
        <v>0</v>
      </c>
      <c r="K20" s="515">
        <f t="shared" si="3"/>
        <v>0</v>
      </c>
      <c r="L20" s="517" t="str">
        <f t="shared" si="4"/>
        <v/>
      </c>
    </row>
    <row r="21" spans="1:12" ht="12.75" customHeight="1" x14ac:dyDescent="0.25">
      <c r="A21" s="129" t="s">
        <v>1164</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985162</v>
      </c>
      <c r="D22" s="109"/>
      <c r="E22" s="109"/>
      <c r="F22" s="516"/>
      <c r="G22" s="109"/>
      <c r="H22" s="516"/>
      <c r="I22" s="109"/>
      <c r="J22" s="515">
        <f>E22+G22+I22</f>
        <v>0</v>
      </c>
      <c r="K22" s="515">
        <f>IF(D22=0,C22+J22,D22+J22)</f>
        <v>985162</v>
      </c>
      <c r="L22" s="517"/>
    </row>
    <row r="23" spans="1:12" ht="12.75" customHeight="1" x14ac:dyDescent="0.25">
      <c r="A23" s="129" t="s">
        <v>1395</v>
      </c>
      <c r="B23" s="73"/>
      <c r="C23" s="130"/>
      <c r="D23" s="109"/>
      <c r="E23" s="109"/>
      <c r="F23" s="516"/>
      <c r="G23" s="109"/>
      <c r="H23" s="516"/>
      <c r="I23" s="109"/>
      <c r="J23" s="515">
        <f t="shared" si="2"/>
        <v>0</v>
      </c>
      <c r="K23" s="515">
        <f t="shared" si="3"/>
        <v>0</v>
      </c>
      <c r="L23" s="517" t="str">
        <f t="shared" si="4"/>
        <v/>
      </c>
    </row>
    <row r="24" spans="1:12" ht="12.75" customHeight="1" x14ac:dyDescent="0.25">
      <c r="A24" s="129" t="s">
        <v>1396</v>
      </c>
      <c r="B24" s="73"/>
      <c r="C24" s="130"/>
      <c r="D24" s="109"/>
      <c r="E24" s="109"/>
      <c r="F24" s="516"/>
      <c r="G24" s="109"/>
      <c r="H24" s="516"/>
      <c r="I24" s="109"/>
      <c r="J24" s="515">
        <f t="shared" si="2"/>
        <v>0</v>
      </c>
      <c r="K24" s="515">
        <f t="shared" si="3"/>
        <v>0</v>
      </c>
      <c r="L24" s="517" t="str">
        <f t="shared" si="4"/>
        <v/>
      </c>
    </row>
    <row r="25" spans="1:12" ht="12.75" customHeight="1" x14ac:dyDescent="0.25">
      <c r="A25" s="129" t="s">
        <v>1397</v>
      </c>
      <c r="B25" s="73"/>
      <c r="C25" s="130"/>
      <c r="D25" s="109"/>
      <c r="E25" s="109"/>
      <c r="F25" s="516"/>
      <c r="G25" s="109"/>
      <c r="H25" s="516"/>
      <c r="I25" s="109"/>
      <c r="J25" s="515">
        <f>E25+G25+I25</f>
        <v>0</v>
      </c>
      <c r="K25" s="515">
        <f>IF(D25=0,C25+J25,D25+J25)</f>
        <v>0</v>
      </c>
      <c r="L25" s="517"/>
    </row>
    <row r="26" spans="1:12" ht="12.75" customHeight="1" x14ac:dyDescent="0.25">
      <c r="A26" s="129" t="s">
        <v>1199</v>
      </c>
      <c r="B26" s="73"/>
      <c r="C26" s="130"/>
      <c r="D26" s="109"/>
      <c r="E26" s="109"/>
      <c r="F26" s="516"/>
      <c r="G26" s="109"/>
      <c r="H26" s="516"/>
      <c r="I26" s="109"/>
      <c r="J26" s="515">
        <f>E26+G26+I26</f>
        <v>0</v>
      </c>
      <c r="K26" s="515">
        <f>IF(D26=0,C26+J26,D26+J26)</f>
        <v>0</v>
      </c>
      <c r="L26" s="517"/>
    </row>
    <row r="27" spans="1:12" ht="12.75" customHeight="1" x14ac:dyDescent="0.25">
      <c r="A27" s="129" t="s">
        <v>1166</v>
      </c>
      <c r="B27" s="73"/>
      <c r="C27" s="130"/>
      <c r="D27" s="109"/>
      <c r="E27" s="109"/>
      <c r="F27" s="516"/>
      <c r="G27" s="109"/>
      <c r="H27" s="516"/>
      <c r="I27" s="109"/>
      <c r="J27" s="515">
        <f>E27+G27+I27</f>
        <v>0</v>
      </c>
      <c r="K27" s="515">
        <f>IF(D27=0,C27+J27,D27+J27)</f>
        <v>0</v>
      </c>
      <c r="L27" s="517"/>
    </row>
    <row r="28" spans="1:12" ht="12.75" customHeight="1" x14ac:dyDescent="0.25">
      <c r="A28" s="129" t="s">
        <v>1165</v>
      </c>
      <c r="B28" s="73"/>
      <c r="C28" s="130"/>
      <c r="D28" s="109"/>
      <c r="E28" s="109"/>
      <c r="F28" s="516"/>
      <c r="G28" s="109"/>
      <c r="H28" s="516"/>
      <c r="I28" s="109"/>
      <c r="J28" s="515">
        <f t="shared" si="2"/>
        <v>0</v>
      </c>
      <c r="K28" s="515">
        <f t="shared" si="3"/>
        <v>0</v>
      </c>
      <c r="L28" s="517" t="str">
        <f t="shared" si="4"/>
        <v/>
      </c>
    </row>
    <row r="29" spans="1:12" ht="12.75" customHeight="1" x14ac:dyDescent="0.25">
      <c r="A29" s="129" t="s">
        <v>1167</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10929858</v>
      </c>
      <c r="D30" s="151">
        <f>SUM(D18:D29)</f>
        <v>0</v>
      </c>
      <c r="E30" s="151">
        <f>SUM(E18:E29)</f>
        <v>0</v>
      </c>
      <c r="F30" s="518"/>
      <c r="G30" s="151">
        <f>SUM(G18:G29)</f>
        <v>0</v>
      </c>
      <c r="H30" s="518"/>
      <c r="I30" s="151">
        <f>SUM(I18:I29)</f>
        <v>0</v>
      </c>
      <c r="J30" s="151">
        <f>SUM(J18:J29)</f>
        <v>0</v>
      </c>
      <c r="K30" s="152">
        <f>SUM(K18:K29)</f>
        <v>10929858</v>
      </c>
      <c r="L30" s="519">
        <f t="shared" si="4"/>
        <v>0</v>
      </c>
    </row>
    <row r="31" spans="1:12" ht="12.75" customHeight="1" x14ac:dyDescent="0.25">
      <c r="A31" s="833"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193875391</v>
      </c>
      <c r="D34" s="109"/>
      <c r="E34" s="109"/>
      <c r="F34" s="109"/>
      <c r="G34" s="109"/>
      <c r="H34" s="109"/>
      <c r="I34" s="109"/>
      <c r="J34" s="515">
        <f t="shared" ref="J34:J45" si="5">SUM(E34:I34)</f>
        <v>0</v>
      </c>
      <c r="K34" s="515">
        <f t="shared" ref="K34:K45" si="6">IF(D34=0,C34+J34,D34+J34)</f>
        <v>193875391</v>
      </c>
      <c r="L34" s="517">
        <f t="shared" ref="L34:L46" si="7">IF(K34=0,"",(K34/C34)-1)</f>
        <v>0</v>
      </c>
    </row>
    <row r="35" spans="1:12" ht="12.75" customHeight="1" x14ac:dyDescent="0.25">
      <c r="A35" s="129" t="s">
        <v>1394</v>
      </c>
      <c r="B35" s="73"/>
      <c r="C35" s="130">
        <v>36932344</v>
      </c>
      <c r="D35" s="109"/>
      <c r="E35" s="109"/>
      <c r="F35" s="109"/>
      <c r="G35" s="109"/>
      <c r="H35" s="109"/>
      <c r="I35" s="109"/>
      <c r="J35" s="515">
        <f t="shared" si="5"/>
        <v>0</v>
      </c>
      <c r="K35" s="515">
        <f t="shared" si="6"/>
        <v>36932344</v>
      </c>
      <c r="L35" s="517">
        <f t="shared" si="7"/>
        <v>0</v>
      </c>
    </row>
    <row r="36" spans="1:12" ht="12.75" customHeight="1" x14ac:dyDescent="0.25">
      <c r="A36" s="129" t="s">
        <v>198</v>
      </c>
      <c r="B36" s="73"/>
      <c r="C36" s="130">
        <v>17931281</v>
      </c>
      <c r="D36" s="109"/>
      <c r="E36" s="109"/>
      <c r="F36" s="109"/>
      <c r="G36" s="109"/>
      <c r="H36" s="109"/>
      <c r="I36" s="109"/>
      <c r="J36" s="515">
        <f t="shared" si="5"/>
        <v>0</v>
      </c>
      <c r="K36" s="515">
        <f t="shared" si="6"/>
        <v>17931281</v>
      </c>
      <c r="L36" s="517">
        <f t="shared" si="7"/>
        <v>0</v>
      </c>
    </row>
    <row r="37" spans="1:12" ht="12.75" customHeight="1" x14ac:dyDescent="0.25">
      <c r="A37" s="129" t="s">
        <v>1164</v>
      </c>
      <c r="B37" s="73"/>
      <c r="C37" s="130">
        <v>27549189</v>
      </c>
      <c r="D37" s="109"/>
      <c r="E37" s="109"/>
      <c r="F37" s="109"/>
      <c r="G37" s="109"/>
      <c r="H37" s="109"/>
      <c r="I37" s="109"/>
      <c r="J37" s="515">
        <f t="shared" si="5"/>
        <v>0</v>
      </c>
      <c r="K37" s="515">
        <f t="shared" si="6"/>
        <v>27549189</v>
      </c>
      <c r="L37" s="517">
        <f t="shared" si="7"/>
        <v>0</v>
      </c>
    </row>
    <row r="38" spans="1:12" ht="12.75" customHeight="1" x14ac:dyDescent="0.25">
      <c r="A38" s="129" t="s">
        <v>202</v>
      </c>
      <c r="B38" s="73"/>
      <c r="C38" s="130">
        <v>140966</v>
      </c>
      <c r="D38" s="109"/>
      <c r="E38" s="109"/>
      <c r="F38" s="109"/>
      <c r="G38" s="109"/>
      <c r="H38" s="109"/>
      <c r="I38" s="109"/>
      <c r="J38" s="515">
        <f>SUM(E38:I38)</f>
        <v>0</v>
      </c>
      <c r="K38" s="515">
        <f>IF(D38=0,C38+J38,D38+J38)</f>
        <v>140966</v>
      </c>
      <c r="L38" s="517"/>
    </row>
    <row r="39" spans="1:12" ht="12.75" customHeight="1" x14ac:dyDescent="0.25">
      <c r="A39" s="129" t="s">
        <v>1395</v>
      </c>
      <c r="B39" s="73"/>
      <c r="C39" s="130">
        <v>17824229</v>
      </c>
      <c r="D39" s="109"/>
      <c r="E39" s="109"/>
      <c r="F39" s="109"/>
      <c r="G39" s="109"/>
      <c r="H39" s="109"/>
      <c r="I39" s="109"/>
      <c r="J39" s="515">
        <f t="shared" si="5"/>
        <v>0</v>
      </c>
      <c r="K39" s="515">
        <f t="shared" si="6"/>
        <v>17824229</v>
      </c>
      <c r="L39" s="517">
        <f t="shared" si="7"/>
        <v>0</v>
      </c>
    </row>
    <row r="40" spans="1:12" ht="12.75" customHeight="1" x14ac:dyDescent="0.25">
      <c r="A40" s="129" t="s">
        <v>1396</v>
      </c>
      <c r="B40" s="73"/>
      <c r="C40" s="130"/>
      <c r="D40" s="109"/>
      <c r="E40" s="109"/>
      <c r="F40" s="109"/>
      <c r="G40" s="109"/>
      <c r="H40" s="109"/>
      <c r="I40" s="109"/>
      <c r="J40" s="515">
        <f t="shared" si="5"/>
        <v>0</v>
      </c>
      <c r="K40" s="515">
        <f t="shared" si="6"/>
        <v>0</v>
      </c>
      <c r="L40" s="517" t="str">
        <f t="shared" si="7"/>
        <v/>
      </c>
    </row>
    <row r="41" spans="1:12" ht="12.75" customHeight="1" x14ac:dyDescent="0.25">
      <c r="A41" s="129" t="s">
        <v>1397</v>
      </c>
      <c r="B41" s="73"/>
      <c r="C41" s="130">
        <v>3345603</v>
      </c>
      <c r="D41" s="109"/>
      <c r="E41" s="109"/>
      <c r="F41" s="109"/>
      <c r="G41" s="109"/>
      <c r="H41" s="109"/>
      <c r="I41" s="109"/>
      <c r="J41" s="515">
        <f>SUM(E41:I41)</f>
        <v>0</v>
      </c>
      <c r="K41" s="515">
        <f>IF(D41=0,C41+J41,D41+J41)</f>
        <v>3345603</v>
      </c>
      <c r="L41" s="517"/>
    </row>
    <row r="42" spans="1:12" ht="12.75" customHeight="1" x14ac:dyDescent="0.25">
      <c r="A42" s="129" t="s">
        <v>1199</v>
      </c>
      <c r="B42" s="73"/>
      <c r="C42" s="130">
        <v>24321045</v>
      </c>
      <c r="D42" s="109"/>
      <c r="E42" s="109"/>
      <c r="F42" s="109"/>
      <c r="G42" s="109"/>
      <c r="H42" s="109"/>
      <c r="I42" s="109"/>
      <c r="J42" s="515">
        <f>SUM(E42:I42)</f>
        <v>0</v>
      </c>
      <c r="K42" s="515">
        <f>IF(D42=0,C42+J42,D42+J42)</f>
        <v>24321045</v>
      </c>
      <c r="L42" s="517"/>
    </row>
    <row r="43" spans="1:12" ht="12.75" customHeight="1" x14ac:dyDescent="0.25">
      <c r="A43" s="129" t="s">
        <v>1166</v>
      </c>
      <c r="B43" s="73"/>
      <c r="C43" s="130">
        <v>10167179</v>
      </c>
      <c r="D43" s="109"/>
      <c r="E43" s="109"/>
      <c r="F43" s="109"/>
      <c r="G43" s="109"/>
      <c r="H43" s="109"/>
      <c r="I43" s="109"/>
      <c r="J43" s="515">
        <f t="shared" si="5"/>
        <v>0</v>
      </c>
      <c r="K43" s="515">
        <f t="shared" si="6"/>
        <v>10167179</v>
      </c>
      <c r="L43" s="517">
        <f t="shared" si="7"/>
        <v>0</v>
      </c>
    </row>
    <row r="44" spans="1:12" ht="12.75" customHeight="1" x14ac:dyDescent="0.25">
      <c r="A44" s="129" t="s">
        <v>1165</v>
      </c>
      <c r="B44" s="73"/>
      <c r="C44" s="130"/>
      <c r="D44" s="109"/>
      <c r="E44" s="109"/>
      <c r="F44" s="109"/>
      <c r="G44" s="109"/>
      <c r="H44" s="109"/>
      <c r="I44" s="109"/>
      <c r="J44" s="515">
        <f t="shared" si="5"/>
        <v>0</v>
      </c>
      <c r="K44" s="515">
        <f t="shared" si="6"/>
        <v>0</v>
      </c>
      <c r="L44" s="517" t="str">
        <f t="shared" si="7"/>
        <v/>
      </c>
    </row>
    <row r="45" spans="1:12" ht="12.75" customHeight="1" x14ac:dyDescent="0.25">
      <c r="A45" s="129" t="s">
        <v>1167</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332087227</v>
      </c>
      <c r="D46" s="151">
        <f t="shared" si="8"/>
        <v>0</v>
      </c>
      <c r="E46" s="151">
        <f t="shared" si="8"/>
        <v>0</v>
      </c>
      <c r="F46" s="151">
        <f t="shared" si="8"/>
        <v>0</v>
      </c>
      <c r="G46" s="151">
        <f t="shared" si="8"/>
        <v>0</v>
      </c>
      <c r="H46" s="151">
        <f t="shared" si="8"/>
        <v>0</v>
      </c>
      <c r="I46" s="151">
        <f t="shared" si="8"/>
        <v>0</v>
      </c>
      <c r="J46" s="151">
        <f t="shared" si="8"/>
        <v>0</v>
      </c>
      <c r="K46" s="152">
        <f t="shared" si="8"/>
        <v>332087227</v>
      </c>
      <c r="L46" s="519">
        <f t="shared" si="7"/>
        <v>0</v>
      </c>
    </row>
    <row r="47" spans="1:12" ht="12.75" customHeight="1" x14ac:dyDescent="0.25">
      <c r="A47" s="833"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370442237</v>
      </c>
      <c r="D48" s="81">
        <f t="shared" si="9"/>
        <v>0</v>
      </c>
      <c r="E48" s="81">
        <f t="shared" si="9"/>
        <v>0</v>
      </c>
      <c r="F48" s="81">
        <f t="shared" si="9"/>
        <v>0</v>
      </c>
      <c r="G48" s="81">
        <f t="shared" si="9"/>
        <v>0</v>
      </c>
      <c r="H48" s="81">
        <f t="shared" si="9"/>
        <v>0</v>
      </c>
      <c r="I48" s="81">
        <f t="shared" si="9"/>
        <v>625000</v>
      </c>
      <c r="J48" s="81">
        <f t="shared" si="9"/>
        <v>625000</v>
      </c>
      <c r="K48" s="526">
        <f t="shared" si="9"/>
        <v>371067237</v>
      </c>
      <c r="L48" s="519">
        <f>IF(K48=0,"",(K48/C48)-1)</f>
        <v>1.6871726211933336E-3</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1394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1164</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1395</v>
      </c>
      <c r="B57" s="73"/>
      <c r="C57" s="130"/>
      <c r="D57" s="109"/>
      <c r="E57" s="109"/>
      <c r="F57" s="109"/>
      <c r="G57" s="109"/>
      <c r="H57" s="109"/>
      <c r="I57" s="109"/>
      <c r="J57" s="515">
        <f t="shared" si="10"/>
        <v>0</v>
      </c>
      <c r="K57" s="515">
        <f>IF(D57=0,C57+J57,D57+J57)</f>
        <v>0</v>
      </c>
      <c r="L57" s="517"/>
    </row>
    <row r="58" spans="1:12" ht="12.75" customHeight="1" x14ac:dyDescent="0.25">
      <c r="A58" s="129" t="s">
        <v>1396</v>
      </c>
      <c r="B58" s="73"/>
      <c r="C58" s="130"/>
      <c r="D58" s="109"/>
      <c r="E58" s="109"/>
      <c r="F58" s="109"/>
      <c r="G58" s="109"/>
      <c r="H58" s="109"/>
      <c r="I58" s="109"/>
      <c r="J58" s="515">
        <f t="shared" si="10"/>
        <v>0</v>
      </c>
      <c r="K58" s="515">
        <f>IF(D58=0,C58+J58,D58+J58)</f>
        <v>0</v>
      </c>
      <c r="L58" s="517"/>
    </row>
    <row r="59" spans="1:12" ht="12.75" customHeight="1" x14ac:dyDescent="0.25">
      <c r="A59" s="129" t="s">
        <v>1397</v>
      </c>
      <c r="B59" s="73"/>
      <c r="C59" s="130"/>
      <c r="D59" s="109"/>
      <c r="E59" s="516"/>
      <c r="F59" s="516"/>
      <c r="G59" s="109"/>
      <c r="H59" s="516"/>
      <c r="I59" s="109"/>
      <c r="J59" s="515">
        <f>G59+I59</f>
        <v>0</v>
      </c>
      <c r="K59" s="515">
        <f t="shared" si="11"/>
        <v>0</v>
      </c>
      <c r="L59" s="517" t="str">
        <f>IF(K59=0,"",(K59/C59)-1)</f>
        <v/>
      </c>
    </row>
    <row r="60" spans="1:12" ht="12.75" customHeight="1" x14ac:dyDescent="0.25">
      <c r="A60" s="129" t="s">
        <v>1199</v>
      </c>
      <c r="B60" s="73"/>
      <c r="C60" s="130">
        <v>225000</v>
      </c>
      <c r="D60" s="109"/>
      <c r="E60" s="516"/>
      <c r="F60" s="516"/>
      <c r="G60" s="109"/>
      <c r="H60" s="516"/>
      <c r="I60" s="109">
        <v>-225000</v>
      </c>
      <c r="J60" s="515">
        <f>G60+I60</f>
        <v>-225000</v>
      </c>
      <c r="K60" s="515">
        <f t="shared" si="11"/>
        <v>0</v>
      </c>
      <c r="L60" s="517"/>
    </row>
    <row r="61" spans="1:12" ht="12.75" customHeight="1" x14ac:dyDescent="0.25">
      <c r="A61" s="129" t="s">
        <v>209</v>
      </c>
      <c r="B61" s="73"/>
      <c r="C61" s="130">
        <v>400000</v>
      </c>
      <c r="D61" s="109"/>
      <c r="E61" s="109"/>
      <c r="F61" s="109"/>
      <c r="G61" s="109"/>
      <c r="H61" s="109"/>
      <c r="I61" s="109">
        <v>-400000</v>
      </c>
      <c r="J61" s="515">
        <f>SUM(E61:I61)</f>
        <v>-400000</v>
      </c>
      <c r="K61" s="515">
        <f t="shared" si="11"/>
        <v>0</v>
      </c>
      <c r="L61" s="517" t="str">
        <f>IF(K61=0,"",(K61/C61)-1)</f>
        <v/>
      </c>
    </row>
    <row r="62" spans="1:12" ht="12.75" customHeight="1" x14ac:dyDescent="0.25">
      <c r="A62" s="129" t="s">
        <v>1166</v>
      </c>
      <c r="B62" s="73"/>
      <c r="C62" s="130"/>
      <c r="D62" s="109"/>
      <c r="E62" s="109"/>
      <c r="F62" s="109"/>
      <c r="G62" s="109"/>
      <c r="H62" s="109"/>
      <c r="I62" s="109"/>
      <c r="J62" s="515">
        <f>SUM(E62:I62)</f>
        <v>0</v>
      </c>
      <c r="K62" s="515">
        <f t="shared" si="11"/>
        <v>0</v>
      </c>
      <c r="L62" s="517" t="str">
        <f>IF(K62=0,"",(K62/C62)-1)</f>
        <v/>
      </c>
    </row>
    <row r="63" spans="1:12" ht="12.75" customHeight="1" x14ac:dyDescent="0.25">
      <c r="A63" s="129" t="s">
        <v>1165</v>
      </c>
      <c r="B63" s="73"/>
      <c r="C63" s="130"/>
      <c r="D63" s="109"/>
      <c r="E63" s="109"/>
      <c r="F63" s="109"/>
      <c r="G63" s="109"/>
      <c r="H63" s="109"/>
      <c r="I63" s="109"/>
      <c r="J63" s="515">
        <f>SUM(E63:I63)</f>
        <v>0</v>
      </c>
      <c r="K63" s="515">
        <f>IF(D63=0,C63+J63,D63+J63)</f>
        <v>0</v>
      </c>
      <c r="L63" s="517"/>
    </row>
    <row r="64" spans="1:12" ht="12.75" customHeight="1" x14ac:dyDescent="0.25">
      <c r="A64" s="129" t="s">
        <v>1167</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625000</v>
      </c>
      <c r="D65" s="151">
        <f t="shared" si="12"/>
        <v>0</v>
      </c>
      <c r="E65" s="151">
        <f t="shared" si="12"/>
        <v>0</v>
      </c>
      <c r="F65" s="151">
        <f t="shared" si="12"/>
        <v>0</v>
      </c>
      <c r="G65" s="151">
        <f t="shared" si="12"/>
        <v>0</v>
      </c>
      <c r="H65" s="151">
        <f t="shared" si="12"/>
        <v>0</v>
      </c>
      <c r="I65" s="151">
        <f t="shared" si="12"/>
        <v>-625000</v>
      </c>
      <c r="J65" s="151">
        <f t="shared" si="12"/>
        <v>-625000</v>
      </c>
      <c r="K65" s="152">
        <f t="shared" si="12"/>
        <v>0</v>
      </c>
      <c r="L65" s="519" t="str">
        <f>IF(K65=0,"",(K65/C65)-1)</f>
        <v/>
      </c>
    </row>
    <row r="66" spans="1:12" ht="12.75" customHeight="1" x14ac:dyDescent="0.25">
      <c r="A66" s="833" t="str">
        <f>$A$15</f>
        <v>% increase</v>
      </c>
      <c r="B66" s="73"/>
      <c r="C66" s="140"/>
      <c r="D66" s="141"/>
      <c r="E66" s="141"/>
      <c r="F66" s="141"/>
      <c r="G66" s="141"/>
      <c r="H66" s="141"/>
      <c r="I66" s="141"/>
      <c r="J66" s="523"/>
      <c r="K66" s="523"/>
      <c r="L66" s="519"/>
    </row>
    <row r="67" spans="1:12" ht="5.25" customHeight="1" x14ac:dyDescent="0.25">
      <c r="A67" s="833"/>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v>1685000</v>
      </c>
      <c r="D69" s="109"/>
      <c r="E69" s="109"/>
      <c r="F69" s="109"/>
      <c r="G69" s="109"/>
      <c r="H69" s="109"/>
      <c r="I69" s="109"/>
      <c r="J69" s="515">
        <f t="shared" ref="J69:J80" si="13">SUM(E69:I69)</f>
        <v>0</v>
      </c>
      <c r="K69" s="515">
        <f t="shared" ref="K69:K80" si="14">IF(D69=0,C69+J69,D69+J69)</f>
        <v>1685000</v>
      </c>
      <c r="L69" s="517">
        <f t="shared" ref="L69:L81" si="15">IF(K69=0,"",(K69/C69)-1)</f>
        <v>0</v>
      </c>
    </row>
    <row r="70" spans="1:12" ht="12.75" customHeight="1" x14ac:dyDescent="0.25">
      <c r="A70" s="595" t="s">
        <v>1394</v>
      </c>
      <c r="B70" s="73"/>
      <c r="C70" s="130">
        <v>327123</v>
      </c>
      <c r="D70" s="109"/>
      <c r="E70" s="109"/>
      <c r="F70" s="109"/>
      <c r="G70" s="109"/>
      <c r="H70" s="109"/>
      <c r="I70" s="109"/>
      <c r="J70" s="515">
        <f t="shared" si="13"/>
        <v>0</v>
      </c>
      <c r="K70" s="515">
        <f t="shared" si="14"/>
        <v>327123</v>
      </c>
      <c r="L70" s="517">
        <f t="shared" si="15"/>
        <v>0</v>
      </c>
    </row>
    <row r="71" spans="1:12" ht="12.75" customHeight="1" x14ac:dyDescent="0.25">
      <c r="A71" s="595" t="s">
        <v>198</v>
      </c>
      <c r="B71" s="73"/>
      <c r="C71" s="130"/>
      <c r="D71" s="109"/>
      <c r="E71" s="109"/>
      <c r="F71" s="109"/>
      <c r="G71" s="109"/>
      <c r="H71" s="109"/>
      <c r="I71" s="109"/>
      <c r="J71" s="515">
        <f t="shared" si="13"/>
        <v>0</v>
      </c>
      <c r="K71" s="515">
        <f t="shared" si="14"/>
        <v>0</v>
      </c>
      <c r="L71" s="517" t="str">
        <f t="shared" si="15"/>
        <v/>
      </c>
    </row>
    <row r="72" spans="1:12" ht="12.75" customHeight="1" x14ac:dyDescent="0.25">
      <c r="A72" s="595" t="s">
        <v>1164</v>
      </c>
      <c r="B72" s="73"/>
      <c r="C72" s="130" t="s">
        <v>1756</v>
      </c>
      <c r="D72" s="109"/>
      <c r="E72" s="109"/>
      <c r="F72" s="109"/>
      <c r="G72" s="109"/>
      <c r="H72" s="109"/>
      <c r="I72" s="109"/>
      <c r="J72" s="515">
        <f>SUM(E72:I72)</f>
        <v>0</v>
      </c>
      <c r="K72" s="515" t="e">
        <f>IF(D72=0,C72+J72,D72+J72)</f>
        <v>#VALUE!</v>
      </c>
      <c r="L72" s="517"/>
    </row>
    <row r="73" spans="1:12" ht="12.75" customHeight="1" x14ac:dyDescent="0.25">
      <c r="A73" s="595" t="s">
        <v>202</v>
      </c>
      <c r="B73" s="73"/>
      <c r="C73" s="130">
        <v>40051</v>
      </c>
      <c r="D73" s="109"/>
      <c r="E73" s="109"/>
      <c r="F73" s="109"/>
      <c r="G73" s="109"/>
      <c r="H73" s="109"/>
      <c r="I73" s="109"/>
      <c r="J73" s="515">
        <f>SUM(E73:I73)</f>
        <v>0</v>
      </c>
      <c r="K73" s="515">
        <f>IF(D73=0,C73+J73,D73+J73)</f>
        <v>40051</v>
      </c>
      <c r="L73" s="517"/>
    </row>
    <row r="74" spans="1:12" ht="12.75" customHeight="1" x14ac:dyDescent="0.25">
      <c r="A74" s="595" t="s">
        <v>1395</v>
      </c>
      <c r="B74" s="73"/>
      <c r="C74" s="130"/>
      <c r="D74" s="109"/>
      <c r="E74" s="109"/>
      <c r="F74" s="109"/>
      <c r="G74" s="109"/>
      <c r="H74" s="109"/>
      <c r="I74" s="109"/>
      <c r="J74" s="515">
        <f>SUM(E74:I74)</f>
        <v>0</v>
      </c>
      <c r="K74" s="515">
        <f>IF(D74=0,C74+J74,D74+J74)</f>
        <v>0</v>
      </c>
      <c r="L74" s="517"/>
    </row>
    <row r="75" spans="1:12" ht="12.75" customHeight="1" x14ac:dyDescent="0.25">
      <c r="A75" s="595" t="s">
        <v>1396</v>
      </c>
      <c r="B75" s="73"/>
      <c r="C75" s="130"/>
      <c r="D75" s="109"/>
      <c r="E75" s="109"/>
      <c r="F75" s="109"/>
      <c r="G75" s="109"/>
      <c r="H75" s="109"/>
      <c r="I75" s="109"/>
      <c r="J75" s="515">
        <f>SUM(E75:I75)</f>
        <v>0</v>
      </c>
      <c r="K75" s="515">
        <f>IF(D75=0,C75+J75,D75+J75)</f>
        <v>0</v>
      </c>
      <c r="L75" s="517"/>
    </row>
    <row r="76" spans="1:12" ht="12.75" customHeight="1" x14ac:dyDescent="0.25">
      <c r="A76" s="595" t="s">
        <v>1397</v>
      </c>
      <c r="B76" s="73"/>
      <c r="C76" s="130"/>
      <c r="D76" s="109"/>
      <c r="E76" s="109"/>
      <c r="F76" s="109"/>
      <c r="G76" s="109"/>
      <c r="H76" s="109"/>
      <c r="I76" s="109"/>
      <c r="J76" s="515">
        <f t="shared" si="13"/>
        <v>0</v>
      </c>
      <c r="K76" s="515">
        <f t="shared" si="14"/>
        <v>0</v>
      </c>
      <c r="L76" s="517" t="str">
        <f t="shared" si="15"/>
        <v/>
      </c>
    </row>
    <row r="77" spans="1:12" ht="12.75" customHeight="1" x14ac:dyDescent="0.25">
      <c r="A77" s="595" t="s">
        <v>1199</v>
      </c>
      <c r="B77" s="73"/>
      <c r="C77" s="130"/>
      <c r="D77" s="109"/>
      <c r="E77" s="109"/>
      <c r="F77" s="109"/>
      <c r="G77" s="109"/>
      <c r="H77" s="109"/>
      <c r="I77" s="109"/>
      <c r="J77" s="515">
        <f>SUM(E77:I77)</f>
        <v>0</v>
      </c>
      <c r="K77" s="515">
        <f>IF(D77=0,C77+J77,D77+J77)</f>
        <v>0</v>
      </c>
      <c r="L77" s="517"/>
    </row>
    <row r="78" spans="1:12" ht="12.75" customHeight="1" x14ac:dyDescent="0.25">
      <c r="A78" s="595" t="s">
        <v>1166</v>
      </c>
      <c r="B78" s="73"/>
      <c r="C78" s="130"/>
      <c r="D78" s="109"/>
      <c r="E78" s="109"/>
      <c r="F78" s="109"/>
      <c r="G78" s="109"/>
      <c r="H78" s="109"/>
      <c r="I78" s="109"/>
      <c r="J78" s="515">
        <f t="shared" si="13"/>
        <v>0</v>
      </c>
      <c r="K78" s="515">
        <f t="shared" si="14"/>
        <v>0</v>
      </c>
      <c r="L78" s="517" t="str">
        <f t="shared" si="15"/>
        <v/>
      </c>
    </row>
    <row r="79" spans="1:12" ht="12.75" customHeight="1" x14ac:dyDescent="0.25">
      <c r="A79" s="595" t="s">
        <v>1165</v>
      </c>
      <c r="B79" s="73"/>
      <c r="C79" s="130"/>
      <c r="D79" s="109"/>
      <c r="E79" s="109"/>
      <c r="F79" s="109"/>
      <c r="G79" s="109"/>
      <c r="H79" s="109"/>
      <c r="I79" s="109"/>
      <c r="J79" s="515">
        <f t="shared" si="13"/>
        <v>0</v>
      </c>
      <c r="K79" s="515">
        <f t="shared" si="14"/>
        <v>0</v>
      </c>
      <c r="L79" s="517" t="str">
        <f t="shared" si="15"/>
        <v/>
      </c>
    </row>
    <row r="80" spans="1:12" ht="12.75" customHeight="1" x14ac:dyDescent="0.25">
      <c r="A80" s="595" t="s">
        <v>1167</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2052174</v>
      </c>
      <c r="D81" s="151">
        <f t="shared" si="16"/>
        <v>0</v>
      </c>
      <c r="E81" s="151">
        <f t="shared" si="16"/>
        <v>0</v>
      </c>
      <c r="F81" s="151">
        <f t="shared" si="16"/>
        <v>0</v>
      </c>
      <c r="G81" s="151">
        <f t="shared" si="16"/>
        <v>0</v>
      </c>
      <c r="H81" s="151">
        <f t="shared" si="16"/>
        <v>0</v>
      </c>
      <c r="I81" s="151">
        <f t="shared" si="16"/>
        <v>0</v>
      </c>
      <c r="J81" s="151">
        <f t="shared" si="16"/>
        <v>0</v>
      </c>
      <c r="K81" s="152" t="e">
        <f t="shared" si="16"/>
        <v>#VALUE!</v>
      </c>
      <c r="L81" s="519" t="e">
        <f t="shared" si="15"/>
        <v>#VALUE!</v>
      </c>
    </row>
    <row r="82" spans="1:12" ht="12.75" customHeight="1" x14ac:dyDescent="0.25">
      <c r="A82" s="833" t="str">
        <f>$A$15</f>
        <v>% increase</v>
      </c>
      <c r="B82" s="73"/>
      <c r="C82" s="140"/>
      <c r="D82" s="141"/>
      <c r="E82" s="141"/>
      <c r="F82" s="141"/>
      <c r="G82" s="141"/>
      <c r="H82" s="141"/>
      <c r="I82" s="141"/>
      <c r="J82" s="523"/>
      <c r="K82" s="523"/>
      <c r="L82" s="519"/>
    </row>
    <row r="83" spans="1:12" ht="3.75" customHeight="1" x14ac:dyDescent="0.25">
      <c r="A83" s="833"/>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v>728000</v>
      </c>
      <c r="D85" s="109"/>
      <c r="E85" s="109"/>
      <c r="F85" s="109"/>
      <c r="G85" s="109"/>
      <c r="H85" s="109"/>
      <c r="I85" s="109"/>
      <c r="J85" s="515">
        <f t="shared" ref="J85:J96" si="17">SUM(E85:I85)</f>
        <v>0</v>
      </c>
      <c r="K85" s="515">
        <f t="shared" ref="K85:K96" si="18">IF(D85=0,C85+J85,D85+J85)</f>
        <v>728000</v>
      </c>
      <c r="L85" s="517">
        <f t="shared" ref="L85:L97" si="19">IF(K85=0,"",(K85/C85)-1)</f>
        <v>0</v>
      </c>
    </row>
    <row r="86" spans="1:12" ht="12.75" customHeight="1" x14ac:dyDescent="0.25">
      <c r="A86" s="595" t="s">
        <v>1394</v>
      </c>
      <c r="B86" s="73"/>
      <c r="C86" s="130">
        <v>985744</v>
      </c>
      <c r="D86" s="109"/>
      <c r="E86" s="109"/>
      <c r="F86" s="109"/>
      <c r="G86" s="109"/>
      <c r="H86" s="109"/>
      <c r="I86" s="109"/>
      <c r="J86" s="515">
        <f t="shared" si="17"/>
        <v>0</v>
      </c>
      <c r="K86" s="515">
        <f t="shared" si="18"/>
        <v>985744</v>
      </c>
      <c r="L86" s="517">
        <f t="shared" si="19"/>
        <v>0</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1164</v>
      </c>
      <c r="B88" s="73"/>
      <c r="C88" s="130">
        <v>9049</v>
      </c>
      <c r="D88" s="109"/>
      <c r="E88" s="109"/>
      <c r="F88" s="109"/>
      <c r="G88" s="109"/>
      <c r="H88" s="109"/>
      <c r="I88" s="109"/>
      <c r="J88" s="515">
        <f t="shared" si="17"/>
        <v>0</v>
      </c>
      <c r="K88" s="515">
        <f t="shared" si="18"/>
        <v>9049</v>
      </c>
      <c r="L88" s="517">
        <f t="shared" si="19"/>
        <v>0</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1395</v>
      </c>
      <c r="B90" s="73"/>
      <c r="C90" s="130"/>
      <c r="D90" s="109"/>
      <c r="E90" s="109"/>
      <c r="F90" s="109"/>
      <c r="G90" s="109"/>
      <c r="H90" s="109"/>
      <c r="I90" s="109"/>
      <c r="J90" s="515">
        <f t="shared" si="17"/>
        <v>0</v>
      </c>
      <c r="K90" s="515">
        <f t="shared" si="18"/>
        <v>0</v>
      </c>
      <c r="L90" s="517" t="str">
        <f t="shared" si="19"/>
        <v/>
      </c>
    </row>
    <row r="91" spans="1:12" ht="12.75" customHeight="1" x14ac:dyDescent="0.25">
      <c r="A91" s="595" t="s">
        <v>1396</v>
      </c>
      <c r="B91" s="73"/>
      <c r="C91" s="130"/>
      <c r="D91" s="109"/>
      <c r="E91" s="109"/>
      <c r="F91" s="109"/>
      <c r="G91" s="109"/>
      <c r="H91" s="109"/>
      <c r="I91" s="109"/>
      <c r="J91" s="515">
        <f t="shared" si="17"/>
        <v>0</v>
      </c>
      <c r="K91" s="515">
        <f t="shared" si="18"/>
        <v>0</v>
      </c>
      <c r="L91" s="517" t="str">
        <f t="shared" si="19"/>
        <v/>
      </c>
    </row>
    <row r="92" spans="1:12" ht="12.75" customHeight="1" x14ac:dyDescent="0.25">
      <c r="A92" s="595" t="s">
        <v>1397</v>
      </c>
      <c r="B92" s="73"/>
      <c r="C92" s="130"/>
      <c r="D92" s="109"/>
      <c r="E92" s="109"/>
      <c r="F92" s="109"/>
      <c r="G92" s="109"/>
      <c r="H92" s="109"/>
      <c r="I92" s="109"/>
      <c r="J92" s="515">
        <f>SUM(E92:I92)</f>
        <v>0</v>
      </c>
      <c r="K92" s="515">
        <f>IF(D92=0,C92+J92,D92+J92)</f>
        <v>0</v>
      </c>
      <c r="L92" s="517"/>
    </row>
    <row r="93" spans="1:12" ht="12.75" customHeight="1" x14ac:dyDescent="0.25">
      <c r="A93" s="595" t="s">
        <v>1199</v>
      </c>
      <c r="B93" s="73"/>
      <c r="C93" s="130"/>
      <c r="D93" s="109"/>
      <c r="E93" s="109"/>
      <c r="F93" s="109"/>
      <c r="G93" s="109"/>
      <c r="H93" s="109"/>
      <c r="I93" s="109"/>
      <c r="J93" s="515">
        <f>SUM(E93:I93)</f>
        <v>0</v>
      </c>
      <c r="K93" s="515">
        <f>IF(D93=0,C93+J93,D93+J93)</f>
        <v>0</v>
      </c>
      <c r="L93" s="517"/>
    </row>
    <row r="94" spans="1:12" ht="12.75" customHeight="1" x14ac:dyDescent="0.25">
      <c r="A94" s="595" t="s">
        <v>1166</v>
      </c>
      <c r="B94" s="73"/>
      <c r="C94" s="130"/>
      <c r="D94" s="109"/>
      <c r="E94" s="109"/>
      <c r="F94" s="109"/>
      <c r="G94" s="109"/>
      <c r="H94" s="109"/>
      <c r="I94" s="109"/>
      <c r="J94" s="515">
        <f t="shared" si="17"/>
        <v>0</v>
      </c>
      <c r="K94" s="515">
        <f t="shared" si="18"/>
        <v>0</v>
      </c>
      <c r="L94" s="517" t="str">
        <f t="shared" si="19"/>
        <v/>
      </c>
    </row>
    <row r="95" spans="1:12" ht="12.75" customHeight="1" x14ac:dyDescent="0.25">
      <c r="A95" s="595" t="s">
        <v>1165</v>
      </c>
      <c r="B95" s="73"/>
      <c r="C95" s="130"/>
      <c r="D95" s="109"/>
      <c r="E95" s="109"/>
      <c r="F95" s="109"/>
      <c r="G95" s="109"/>
      <c r="H95" s="109"/>
      <c r="I95" s="109"/>
      <c r="J95" s="515">
        <f t="shared" si="17"/>
        <v>0</v>
      </c>
      <c r="K95" s="515">
        <f t="shared" si="18"/>
        <v>0</v>
      </c>
      <c r="L95" s="517" t="str">
        <f t="shared" si="19"/>
        <v/>
      </c>
    </row>
    <row r="96" spans="1:12" ht="12.75" customHeight="1" x14ac:dyDescent="0.25">
      <c r="A96" s="595" t="s">
        <v>1167</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1722793</v>
      </c>
      <c r="D97" s="151">
        <f t="shared" si="20"/>
        <v>0</v>
      </c>
      <c r="E97" s="151">
        <f t="shared" si="20"/>
        <v>0</v>
      </c>
      <c r="F97" s="151">
        <f t="shared" si="20"/>
        <v>0</v>
      </c>
      <c r="G97" s="151">
        <f t="shared" si="20"/>
        <v>0</v>
      </c>
      <c r="H97" s="151">
        <f t="shared" si="20"/>
        <v>0</v>
      </c>
      <c r="I97" s="151">
        <f t="shared" si="20"/>
        <v>0</v>
      </c>
      <c r="J97" s="151">
        <f t="shared" si="20"/>
        <v>0</v>
      </c>
      <c r="K97" s="152">
        <f t="shared" si="20"/>
        <v>1722793</v>
      </c>
      <c r="L97" s="519">
        <f t="shared" si="19"/>
        <v>0</v>
      </c>
    </row>
    <row r="98" spans="1:15" ht="12.75" customHeight="1" x14ac:dyDescent="0.25">
      <c r="A98" s="833"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4399967</v>
      </c>
      <c r="D99" s="81">
        <f t="shared" si="21"/>
        <v>0</v>
      </c>
      <c r="E99" s="81">
        <f t="shared" si="21"/>
        <v>0</v>
      </c>
      <c r="F99" s="81">
        <f t="shared" si="21"/>
        <v>0</v>
      </c>
      <c r="G99" s="81">
        <f t="shared" si="21"/>
        <v>0</v>
      </c>
      <c r="H99" s="81">
        <f t="shared" si="21"/>
        <v>0</v>
      </c>
      <c r="I99" s="81">
        <f t="shared" si="21"/>
        <v>-625000</v>
      </c>
      <c r="J99" s="81">
        <f t="shared" si="21"/>
        <v>-625000</v>
      </c>
      <c r="K99" s="526" t="e">
        <f t="shared" si="21"/>
        <v>#VALUE!</v>
      </c>
      <c r="L99" s="519" t="e">
        <f>IF(K99=0,"",(K99/C99)-1)</f>
        <v>#VALUE!</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98" t="s">
        <v>1480</v>
      </c>
      <c r="B101" s="154"/>
      <c r="C101" s="524">
        <f t="shared" ref="C101:K101" si="22">C48+C99</f>
        <v>374842204</v>
      </c>
      <c r="D101" s="237">
        <f t="shared" si="22"/>
        <v>0</v>
      </c>
      <c r="E101" s="237">
        <f t="shared" si="22"/>
        <v>0</v>
      </c>
      <c r="F101" s="237">
        <f t="shared" si="22"/>
        <v>0</v>
      </c>
      <c r="G101" s="237">
        <f t="shared" si="22"/>
        <v>0</v>
      </c>
      <c r="H101" s="237">
        <f t="shared" si="22"/>
        <v>0</v>
      </c>
      <c r="I101" s="237">
        <f t="shared" si="22"/>
        <v>0</v>
      </c>
      <c r="J101" s="237">
        <f t="shared" si="22"/>
        <v>0</v>
      </c>
      <c r="K101" s="525" t="e">
        <f t="shared" si="22"/>
        <v>#VALUE!</v>
      </c>
      <c r="L101" s="519" t="e">
        <f>IF(K101=0,"",(K101/C101)-1)</f>
        <v>#VALUE!</v>
      </c>
    </row>
    <row r="102" spans="1:15" x14ac:dyDescent="0.25">
      <c r="A102" s="833"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346792052</v>
      </c>
      <c r="D103" s="117">
        <f t="shared" si="23"/>
        <v>0</v>
      </c>
      <c r="E103" s="117">
        <f t="shared" si="23"/>
        <v>0</v>
      </c>
      <c r="F103" s="117">
        <f t="shared" si="23"/>
        <v>0</v>
      </c>
      <c r="G103" s="117">
        <f t="shared" si="23"/>
        <v>0</v>
      </c>
      <c r="H103" s="117">
        <f t="shared" si="23"/>
        <v>0</v>
      </c>
      <c r="I103" s="117">
        <f t="shared" si="23"/>
        <v>0</v>
      </c>
      <c r="J103" s="117">
        <f t="shared" si="23"/>
        <v>0</v>
      </c>
      <c r="K103" s="529" t="e">
        <f t="shared" si="23"/>
        <v>#VALUE!</v>
      </c>
      <c r="L103" s="530" t="e">
        <f>IF(K103=0,"",(K103/C103)-1)</f>
        <v>#VALUE!</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31" t="s">
        <v>1398</v>
      </c>
      <c r="B109" s="93"/>
      <c r="C109" s="99"/>
      <c r="D109" s="99"/>
      <c r="E109" s="99"/>
      <c r="F109" s="99"/>
      <c r="G109" s="99"/>
      <c r="H109" s="99"/>
      <c r="I109" s="99"/>
      <c r="J109" s="99"/>
      <c r="K109" s="99"/>
      <c r="L109" s="93"/>
    </row>
    <row r="110" spans="1:15" ht="12.75" customHeight="1" x14ac:dyDescent="0.25">
      <c r="A110" s="1031"/>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389" t="s">
        <v>995</v>
      </c>
      <c r="B113" s="1389"/>
      <c r="C113" s="1389"/>
      <c r="D113" s="1389"/>
      <c r="E113" s="1389"/>
      <c r="F113" s="1389"/>
      <c r="G113" s="1389"/>
      <c r="H113" s="1389"/>
      <c r="I113" s="1389"/>
      <c r="J113" s="1389"/>
      <c r="K113" s="1389"/>
      <c r="L113" s="1389"/>
    </row>
    <row r="114" spans="1:12" ht="25.15" customHeight="1" x14ac:dyDescent="0.25">
      <c r="A114" s="1389" t="s">
        <v>674</v>
      </c>
      <c r="B114" s="1389"/>
      <c r="C114" s="1389"/>
      <c r="D114" s="1389"/>
      <c r="E114" s="1389"/>
      <c r="F114" s="1389"/>
      <c r="G114" s="1389"/>
      <c r="H114" s="1389"/>
      <c r="I114" s="1389"/>
      <c r="J114" s="1389"/>
      <c r="K114" s="1389"/>
      <c r="L114" s="1389"/>
    </row>
    <row r="115" spans="1:12" ht="12.75" customHeight="1" x14ac:dyDescent="0.25">
      <c r="A115" s="1389" t="s">
        <v>634</v>
      </c>
      <c r="B115" s="1389"/>
      <c r="C115" s="1389"/>
      <c r="D115" s="1389"/>
      <c r="E115" s="1389"/>
      <c r="F115" s="1389"/>
      <c r="G115" s="1389"/>
      <c r="H115" s="1389"/>
      <c r="I115" s="1389"/>
      <c r="J115" s="1389"/>
      <c r="K115" s="98"/>
      <c r="L115" s="532"/>
    </row>
    <row r="116" spans="1:12" ht="12.75" customHeight="1" x14ac:dyDescent="0.25">
      <c r="A116" s="1389" t="s">
        <v>635</v>
      </c>
      <c r="B116" s="1389"/>
      <c r="C116" s="1389"/>
      <c r="D116" s="1389"/>
      <c r="E116" s="1389"/>
      <c r="F116" s="1389"/>
      <c r="G116" s="1389"/>
      <c r="H116" s="1389"/>
      <c r="I116" s="1389"/>
      <c r="J116" s="1389"/>
      <c r="K116" s="1389"/>
      <c r="L116" s="1389"/>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389" t="s">
        <v>637</v>
      </c>
      <c r="B118" s="1389"/>
      <c r="C118" s="1389"/>
      <c r="D118" s="1389"/>
      <c r="E118" s="1389"/>
      <c r="F118" s="1389"/>
      <c r="G118" s="1389"/>
      <c r="H118" s="1389"/>
      <c r="I118" s="1389"/>
      <c r="J118" s="1389"/>
      <c r="K118" s="1389"/>
      <c r="L118" s="1389"/>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389" t="s">
        <v>639</v>
      </c>
      <c r="B120" s="1389"/>
      <c r="C120" s="1389"/>
      <c r="D120" s="1389"/>
      <c r="E120" s="1389"/>
      <c r="F120" s="1389"/>
      <c r="G120" s="1389"/>
      <c r="H120" s="1389"/>
      <c r="I120" s="1389"/>
      <c r="J120" s="1389"/>
      <c r="K120" s="1389"/>
      <c r="L120" s="1389"/>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32" activePane="bottomRight" state="frozen"/>
      <selection activeCell="C6" sqref="C6"/>
      <selection pane="topRight" activeCell="C6" sqref="C6"/>
      <selection pane="bottomLeft" activeCell="C6" sqref="C6"/>
      <selection pane="bottomRight" activeCell="C13" sqref="C13:M13"/>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LIM333 Greater Tzaneen - Supporting Table SB12 Adjustments Budget - monthly revenue and expenditure (municipal vote) - 27/02/2019</v>
      </c>
      <c r="B1" s="57"/>
      <c r="D1" s="58"/>
    </row>
    <row r="2" spans="1:18" ht="25.5" x14ac:dyDescent="0.25">
      <c r="A2" s="1398" t="str">
        <f>desc</f>
        <v>Description</v>
      </c>
      <c r="B2" s="1393" t="str">
        <f>head27</f>
        <v>Ref</v>
      </c>
      <c r="C2" s="1390" t="str">
        <f>Head2</f>
        <v>Budget Year 2018/19</v>
      </c>
      <c r="D2" s="1391"/>
      <c r="E2" s="1391"/>
      <c r="F2" s="1391"/>
      <c r="G2" s="1391"/>
      <c r="H2" s="1391"/>
      <c r="I2" s="1391"/>
      <c r="J2" s="1391"/>
      <c r="K2" s="1391"/>
      <c r="L2" s="1391"/>
      <c r="M2" s="1391"/>
      <c r="N2" s="1392"/>
      <c r="O2" s="534"/>
      <c r="P2" s="535" t="s">
        <v>227</v>
      </c>
      <c r="Q2" s="536"/>
      <c r="R2" s="537"/>
    </row>
    <row r="3" spans="1:18"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42" t="s">
        <v>605</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Municipal Manager</v>
      </c>
      <c r="B6" s="129"/>
      <c r="C6" s="389"/>
      <c r="D6" s="109"/>
      <c r="E6" s="109"/>
      <c r="F6" s="109"/>
      <c r="G6" s="109"/>
      <c r="H6" s="388"/>
      <c r="I6" s="389"/>
      <c r="J6" s="109"/>
      <c r="K6" s="109"/>
      <c r="L6" s="109"/>
      <c r="M6" s="109"/>
      <c r="N6" s="515">
        <f t="shared" ref="N6:N20" si="2">P6-SUM(C6:M6)</f>
        <v>129</v>
      </c>
      <c r="O6" s="547">
        <f t="shared" ref="O6:O14" si="3">SUM(C6:N6)</f>
        <v>129</v>
      </c>
      <c r="P6" s="240">
        <f>'B3-FinPerf V'!K7</f>
        <v>129</v>
      </c>
      <c r="Q6" s="75">
        <f>'B3-FinPerf V'!L7</f>
        <v>136.095</v>
      </c>
      <c r="R6" s="76">
        <f>'B3-FinPerf V'!M7</f>
        <v>143.58022500000001</v>
      </c>
    </row>
    <row r="7" spans="1:18" ht="12.75" customHeight="1" x14ac:dyDescent="0.25">
      <c r="A7" s="129" t="str">
        <f>'B3-FinPerf V'!A8</f>
        <v>Vote 2 - Planning &amp; Economic Development</v>
      </c>
      <c r="B7" s="129"/>
      <c r="C7" s="389">
        <v>8215</v>
      </c>
      <c r="D7" s="109">
        <v>11680</v>
      </c>
      <c r="E7" s="109">
        <v>21660</v>
      </c>
      <c r="F7" s="109">
        <v>57345</v>
      </c>
      <c r="G7" s="109">
        <v>20470</v>
      </c>
      <c r="H7" s="388">
        <v>8980</v>
      </c>
      <c r="I7" s="389">
        <v>12698.830024977</v>
      </c>
      <c r="J7" s="109">
        <v>14276.3244380176</v>
      </c>
      <c r="K7" s="109">
        <v>32318.916787169699</v>
      </c>
      <c r="L7" s="109">
        <v>4909.9513605889297</v>
      </c>
      <c r="M7" s="109">
        <v>16228.4737741554</v>
      </c>
      <c r="N7" s="515">
        <f t="shared" si="2"/>
        <v>354772.50361509138</v>
      </c>
      <c r="O7" s="547">
        <f t="shared" si="3"/>
        <v>563555</v>
      </c>
      <c r="P7" s="240">
        <f>'B3-FinPerf V'!K8</f>
        <v>563555</v>
      </c>
      <c r="Q7" s="75">
        <f>'B3-FinPerf V'!L8</f>
        <v>594550.52500000002</v>
      </c>
      <c r="R7" s="76">
        <f>'B3-FinPerf V'!M8</f>
        <v>627250.80387499998</v>
      </c>
    </row>
    <row r="8" spans="1:18" ht="12.75" customHeight="1" x14ac:dyDescent="0.25">
      <c r="A8" s="129" t="str">
        <f>'B3-FinPerf V'!A9</f>
        <v>Vote 3 - Financial Services</v>
      </c>
      <c r="B8" s="129"/>
      <c r="C8" s="389">
        <v>153093974.25</v>
      </c>
      <c r="D8" s="109">
        <v>12922179.01</v>
      </c>
      <c r="E8" s="109">
        <v>12217184.15</v>
      </c>
      <c r="F8" s="109">
        <v>12710538.5</v>
      </c>
      <c r="G8" s="109">
        <v>13499390.32</v>
      </c>
      <c r="H8" s="388">
        <v>123213991.20999999</v>
      </c>
      <c r="I8" s="389">
        <v>14416389.9964447</v>
      </c>
      <c r="J8" s="109">
        <v>10450229.1409615</v>
      </c>
      <c r="K8" s="109">
        <v>75823266.348118499</v>
      </c>
      <c r="L8" s="109">
        <v>11975486.2189789</v>
      </c>
      <c r="M8" s="109">
        <v>10373370.240641</v>
      </c>
      <c r="N8" s="515">
        <f t="shared" si="2"/>
        <v>-480349.38514459133</v>
      </c>
      <c r="O8" s="547">
        <f t="shared" si="3"/>
        <v>450215650</v>
      </c>
      <c r="P8" s="240">
        <f>'B3-FinPerf V'!K9</f>
        <v>450215650</v>
      </c>
      <c r="Q8" s="75">
        <f>'B3-FinPerf V'!L9</f>
        <v>495323615.75</v>
      </c>
      <c r="R8" s="76">
        <f>'B3-FinPerf V'!M9</f>
        <v>536356449.61625004</v>
      </c>
    </row>
    <row r="9" spans="1:18" ht="12.75" customHeight="1" x14ac:dyDescent="0.25">
      <c r="A9" s="129" t="str">
        <f>'B3-FinPerf V'!A10</f>
        <v>Vote 4 - Corporate Services</v>
      </c>
      <c r="B9" s="129"/>
      <c r="C9" s="389">
        <v>0</v>
      </c>
      <c r="D9" s="109">
        <v>0</v>
      </c>
      <c r="E9" s="109">
        <v>0</v>
      </c>
      <c r="F9" s="109">
        <v>0</v>
      </c>
      <c r="G9" s="109">
        <v>50313</v>
      </c>
      <c r="H9" s="388">
        <v>0</v>
      </c>
      <c r="I9" s="389">
        <v>0</v>
      </c>
      <c r="J9" s="109">
        <v>0</v>
      </c>
      <c r="K9" s="109">
        <v>0</v>
      </c>
      <c r="L9" s="109">
        <v>0</v>
      </c>
      <c r="M9" s="109">
        <v>0</v>
      </c>
      <c r="N9" s="515">
        <f t="shared" si="2"/>
        <v>-49085</v>
      </c>
      <c r="O9" s="547">
        <f t="shared" si="3"/>
        <v>1228</v>
      </c>
      <c r="P9" s="240">
        <f>'B3-FinPerf V'!K10</f>
        <v>1228</v>
      </c>
      <c r="Q9" s="75">
        <f>'B3-FinPerf V'!L10</f>
        <v>1295.54</v>
      </c>
      <c r="R9" s="76">
        <f>'B3-FinPerf V'!M10</f>
        <v>1366.7947000000001</v>
      </c>
    </row>
    <row r="10" spans="1:18" ht="12.75" customHeight="1" x14ac:dyDescent="0.25">
      <c r="A10" s="129" t="str">
        <f>'B3-FinPerf V'!A11</f>
        <v>Vote 5 - Community Services</v>
      </c>
      <c r="B10" s="129"/>
      <c r="C10" s="389">
        <v>2967863.83</v>
      </c>
      <c r="D10" s="109">
        <v>2986293.51</v>
      </c>
      <c r="E10" s="109">
        <v>2811518.96</v>
      </c>
      <c r="F10" s="109">
        <v>2700551.81</v>
      </c>
      <c r="G10" s="109">
        <v>5360473.22</v>
      </c>
      <c r="H10" s="388">
        <v>4082608.57</v>
      </c>
      <c r="I10" s="389">
        <v>2409750.1164842299</v>
      </c>
      <c r="J10" s="109">
        <v>4484158.2068404397</v>
      </c>
      <c r="K10" s="109">
        <v>24342879.591449</v>
      </c>
      <c r="L10" s="109">
        <v>2700986.5267348299</v>
      </c>
      <c r="M10" s="109">
        <v>2580342.58440727</v>
      </c>
      <c r="N10" s="515">
        <f t="shared" si="2"/>
        <v>965968.07408422977</v>
      </c>
      <c r="O10" s="547">
        <f t="shared" si="3"/>
        <v>58393395</v>
      </c>
      <c r="P10" s="240">
        <f>'B3-FinPerf V'!K11</f>
        <v>58393395</v>
      </c>
      <c r="Q10" s="75">
        <f>'B3-FinPerf V'!L11</f>
        <v>53792981.725000001</v>
      </c>
      <c r="R10" s="76">
        <f>'B3-FinPerf V'!M11</f>
        <v>56596595.719875</v>
      </c>
    </row>
    <row r="11" spans="1:18" ht="12.75" customHeight="1" x14ac:dyDescent="0.25">
      <c r="A11" s="129" t="str">
        <f>'B3-FinPerf V'!A12</f>
        <v>Vote 6 - Community Services</v>
      </c>
      <c r="B11" s="129"/>
      <c r="C11" s="389">
        <v>4769426.2300000004</v>
      </c>
      <c r="D11" s="109">
        <v>5513009.5</v>
      </c>
      <c r="E11" s="109">
        <v>5245368.8899999997</v>
      </c>
      <c r="F11" s="109">
        <v>5430739.0300000003</v>
      </c>
      <c r="G11" s="109">
        <v>4480278.68</v>
      </c>
      <c r="H11" s="388">
        <v>4018474.73</v>
      </c>
      <c r="I11" s="389">
        <v>7250468.9135525497</v>
      </c>
      <c r="J11" s="109">
        <v>6264030.9026082</v>
      </c>
      <c r="K11" s="109">
        <v>5284635.2153780004</v>
      </c>
      <c r="L11" s="109">
        <v>3073344.2270820299</v>
      </c>
      <c r="M11" s="109">
        <v>3921252.4058465501</v>
      </c>
      <c r="N11" s="515">
        <f t="shared" si="2"/>
        <v>-64737.724467337132</v>
      </c>
      <c r="O11" s="547">
        <f t="shared" si="3"/>
        <v>55186291</v>
      </c>
      <c r="P11" s="240">
        <f>'B3-FinPerf V'!K12</f>
        <v>55186291</v>
      </c>
      <c r="Q11" s="75">
        <f>'B3-FinPerf V'!L12</f>
        <v>58221537.005000003</v>
      </c>
      <c r="R11" s="76">
        <f>'B3-FinPerf V'!M12</f>
        <v>61423721.540275</v>
      </c>
    </row>
    <row r="12" spans="1:18" ht="12.75" customHeight="1" x14ac:dyDescent="0.25">
      <c r="A12" s="129" t="str">
        <f>'B3-FinPerf V'!A13</f>
        <v>Vote 7 - Electrical Engineering Services</v>
      </c>
      <c r="B12" s="129"/>
      <c r="C12" s="389">
        <v>49836816.340000004</v>
      </c>
      <c r="D12" s="109">
        <v>50003858.170000002</v>
      </c>
      <c r="E12" s="109">
        <v>46837071.240000002</v>
      </c>
      <c r="F12" s="109">
        <v>49311646.200000003</v>
      </c>
      <c r="G12" s="109">
        <v>46892388.170000002</v>
      </c>
      <c r="H12" s="388">
        <v>39279986.350000001</v>
      </c>
      <c r="I12" s="389">
        <v>38093938.187088497</v>
      </c>
      <c r="J12" s="109">
        <v>33160643.897537202</v>
      </c>
      <c r="K12" s="109">
        <v>37870505.332612</v>
      </c>
      <c r="L12" s="109">
        <v>39022399.106763899</v>
      </c>
      <c r="M12" s="109">
        <v>38129467.260380603</v>
      </c>
      <c r="N12" s="515">
        <f t="shared" si="2"/>
        <v>48908279.745617747</v>
      </c>
      <c r="O12" s="547">
        <f t="shared" si="3"/>
        <v>517347000</v>
      </c>
      <c r="P12" s="240">
        <f>'B3-FinPerf V'!K13</f>
        <v>517347000</v>
      </c>
      <c r="Q12" s="75">
        <f>'B3-FinPerf V'!L13</f>
        <v>544925305</v>
      </c>
      <c r="R12" s="76">
        <f>'B3-FinPerf V'!M13</f>
        <v>570516196.77499998</v>
      </c>
    </row>
    <row r="13" spans="1:18" ht="12.75" customHeight="1" x14ac:dyDescent="0.25">
      <c r="A13" s="129" t="str">
        <f>'B3-FinPerf V'!A14</f>
        <v>Vote 8 - Engineering Services</v>
      </c>
      <c r="B13" s="129"/>
      <c r="C13" s="389">
        <v>55613799.979999997</v>
      </c>
      <c r="D13" s="109">
        <v>205738.3</v>
      </c>
      <c r="E13" s="109">
        <v>204494.11</v>
      </c>
      <c r="F13" s="109">
        <v>462727.4</v>
      </c>
      <c r="G13" s="109">
        <v>248003.66</v>
      </c>
      <c r="H13" s="388">
        <v>23288621.32</v>
      </c>
      <c r="I13" s="389">
        <v>158477.59840214299</v>
      </c>
      <c r="J13" s="109">
        <v>172997.88388151399</v>
      </c>
      <c r="K13" s="109">
        <v>14052671.068527101</v>
      </c>
      <c r="L13" s="109">
        <v>266185.49230574502</v>
      </c>
      <c r="M13" s="109">
        <v>183248.39043896599</v>
      </c>
      <c r="N13" s="515">
        <f t="shared" si="2"/>
        <v>-276640.20355543494</v>
      </c>
      <c r="O13" s="547">
        <f t="shared" si="3"/>
        <v>94580325</v>
      </c>
      <c r="P13" s="240">
        <f>'B3-FinPerf V'!K14</f>
        <v>94580325</v>
      </c>
      <c r="Q13" s="75">
        <f>'B3-FinPerf V'!L14</f>
        <v>97180417.875</v>
      </c>
      <c r="R13" s="76">
        <f>'B3-FinPerf V'!M14</f>
        <v>102727875.858125</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266290095.63</v>
      </c>
      <c r="D21" s="151">
        <f t="shared" si="4"/>
        <v>71642758.489999995</v>
      </c>
      <c r="E21" s="151">
        <f t="shared" si="4"/>
        <v>67337297.350000009</v>
      </c>
      <c r="F21" s="151">
        <f t="shared" si="4"/>
        <v>70673547.940000013</v>
      </c>
      <c r="G21" s="151">
        <f t="shared" si="4"/>
        <v>70551317.049999997</v>
      </c>
      <c r="H21" s="528">
        <f t="shared" si="4"/>
        <v>193892662.17999998</v>
      </c>
      <c r="I21" s="303">
        <f t="shared" si="4"/>
        <v>62341723.641997099</v>
      </c>
      <c r="J21" s="151">
        <f t="shared" si="4"/>
        <v>54546336.356266879</v>
      </c>
      <c r="K21" s="151">
        <f t="shared" si="4"/>
        <v>157406276.47287175</v>
      </c>
      <c r="L21" s="151">
        <f t="shared" si="4"/>
        <v>57043311.523226</v>
      </c>
      <c r="M21" s="151">
        <f t="shared" si="4"/>
        <v>55203909.355488546</v>
      </c>
      <c r="N21" s="528">
        <f t="shared" si="4"/>
        <v>49358337.010149702</v>
      </c>
      <c r="O21" s="549">
        <f t="shared" si="4"/>
        <v>1176287573</v>
      </c>
      <c r="P21" s="303">
        <f t="shared" si="4"/>
        <v>1176287573</v>
      </c>
      <c r="Q21" s="151">
        <f t="shared" si="4"/>
        <v>1250039839.5149999</v>
      </c>
      <c r="R21" s="152">
        <f t="shared" si="4"/>
        <v>1328249600.6883249</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Municipal Manager</v>
      </c>
      <c r="B24" s="129"/>
      <c r="C24" s="389">
        <v>4639686.7100000009</v>
      </c>
      <c r="D24" s="109">
        <v>3009522.2599999984</v>
      </c>
      <c r="E24" s="109">
        <v>3865879.8700000006</v>
      </c>
      <c r="F24" s="109">
        <v>2791880.8100000005</v>
      </c>
      <c r="G24" s="109">
        <v>5136790.9400000004</v>
      </c>
      <c r="H24" s="388">
        <v>1507502.6399999994</v>
      </c>
      <c r="I24" s="389">
        <v>1448393.2681461896</v>
      </c>
      <c r="J24" s="109">
        <v>1039901.2651741523</v>
      </c>
      <c r="K24" s="109">
        <v>1148547.4752113374</v>
      </c>
      <c r="L24" s="109">
        <v>1366281.9904423235</v>
      </c>
      <c r="M24" s="109">
        <v>1126551.4125203197</v>
      </c>
      <c r="N24" s="515">
        <f t="shared" ref="N24:N38" si="5">P24-SUM(C24:M24)</f>
        <v>7565770.3585056774</v>
      </c>
      <c r="O24" s="547">
        <f t="shared" ref="O24:O38" si="6">SUM(C24:N24)</f>
        <v>34646709</v>
      </c>
      <c r="P24" s="240">
        <f>'B3-FinPerf V'!K25</f>
        <v>34646709</v>
      </c>
      <c r="Q24" s="75">
        <f>'B3-FinPerf V'!L25</f>
        <v>31796348.75</v>
      </c>
      <c r="R24" s="76">
        <f>'B3-FinPerf V'!M25</f>
        <v>33509358.686250001</v>
      </c>
    </row>
    <row r="25" spans="1:18" ht="12.75" customHeight="1" x14ac:dyDescent="0.25">
      <c r="A25" s="129" t="str">
        <f>'B3-FinPerf V'!A26</f>
        <v>Vote 2 - Planning &amp; Economic Development</v>
      </c>
      <c r="B25" s="129"/>
      <c r="C25" s="389">
        <v>1755395.0499999998</v>
      </c>
      <c r="D25" s="109">
        <v>3371205.3300000005</v>
      </c>
      <c r="E25" s="109">
        <v>1898464.9200000002</v>
      </c>
      <c r="F25" s="109">
        <v>3428073.2699999991</v>
      </c>
      <c r="G25" s="109">
        <v>1358150.1</v>
      </c>
      <c r="H25" s="388">
        <v>2376740.9700000007</v>
      </c>
      <c r="I25" s="389">
        <v>1717815.4137589631</v>
      </c>
      <c r="J25" s="109">
        <v>1748356.2317304891</v>
      </c>
      <c r="K25" s="109">
        <v>6983318.9982527439</v>
      </c>
      <c r="L25" s="109">
        <v>1940346.3907547591</v>
      </c>
      <c r="M25" s="109">
        <v>2256265.9389313576</v>
      </c>
      <c r="N25" s="515">
        <f t="shared" si="5"/>
        <v>2687893.9765716866</v>
      </c>
      <c r="O25" s="547">
        <f t="shared" si="6"/>
        <v>31522026.59</v>
      </c>
      <c r="P25" s="240">
        <f>'B3-FinPerf V'!K26</f>
        <v>31522026.59</v>
      </c>
      <c r="Q25" s="75">
        <f>'B3-FinPerf V'!L26</f>
        <v>33458787.162450004</v>
      </c>
      <c r="R25" s="76">
        <f>'B3-FinPerf V'!M26</f>
        <v>35334172.436384745</v>
      </c>
    </row>
    <row r="26" spans="1:18" ht="12.75" customHeight="1" x14ac:dyDescent="0.25">
      <c r="A26" s="129" t="str">
        <f>'B3-FinPerf V'!A27</f>
        <v>Vote 3 - Financial Services</v>
      </c>
      <c r="B26" s="129"/>
      <c r="C26" s="389">
        <v>5500907.4700000035</v>
      </c>
      <c r="D26" s="109">
        <v>7771694.1499999985</v>
      </c>
      <c r="E26" s="109">
        <v>6060921.0300000012</v>
      </c>
      <c r="F26" s="109">
        <v>8520224.1400000025</v>
      </c>
      <c r="G26" s="109">
        <v>5224354.9900000021</v>
      </c>
      <c r="H26" s="388">
        <v>5319100.1900000004</v>
      </c>
      <c r="I26" s="389">
        <v>5150914.2013275633</v>
      </c>
      <c r="J26" s="109">
        <v>5910743.7832902595</v>
      </c>
      <c r="K26" s="109">
        <v>6432997.520749704</v>
      </c>
      <c r="L26" s="109">
        <v>7212465.8910821853</v>
      </c>
      <c r="M26" s="109">
        <v>4883799.4560833611</v>
      </c>
      <c r="N26" s="515">
        <f t="shared" si="5"/>
        <v>38000447.06746693</v>
      </c>
      <c r="O26" s="547">
        <f t="shared" si="6"/>
        <v>105988569.89</v>
      </c>
      <c r="P26" s="240">
        <f>'B3-FinPerf V'!K27</f>
        <v>105988569.89</v>
      </c>
      <c r="Q26" s="75">
        <f>'B3-FinPerf V'!L27</f>
        <v>106914751.41395001</v>
      </c>
      <c r="R26" s="76">
        <f>'B3-FinPerf V'!M27</f>
        <v>112671971.92171726</v>
      </c>
    </row>
    <row r="27" spans="1:18" ht="12.75" customHeight="1" x14ac:dyDescent="0.25">
      <c r="A27" s="129" t="str">
        <f>'B3-FinPerf V'!A28</f>
        <v>Vote 4 - Corporate Services</v>
      </c>
      <c r="B27" s="129"/>
      <c r="C27" s="389">
        <v>6639877.5700000003</v>
      </c>
      <c r="D27" s="109">
        <v>7431029.2600000007</v>
      </c>
      <c r="E27" s="109">
        <v>6553858.7600000007</v>
      </c>
      <c r="F27" s="109">
        <v>6877126.4600000009</v>
      </c>
      <c r="G27" s="109">
        <v>6740103.1799999997</v>
      </c>
      <c r="H27" s="388">
        <v>7405942.2900000019</v>
      </c>
      <c r="I27" s="389">
        <v>13400300.727977559</v>
      </c>
      <c r="J27" s="109">
        <v>7238313.7545774365</v>
      </c>
      <c r="K27" s="109">
        <v>12138073.503251838</v>
      </c>
      <c r="L27" s="109">
        <v>10318070.966226272</v>
      </c>
      <c r="M27" s="109">
        <v>10288122.781235443</v>
      </c>
      <c r="N27" s="515">
        <f t="shared" si="5"/>
        <v>6904350.3167314529</v>
      </c>
      <c r="O27" s="547">
        <f t="shared" si="6"/>
        <v>101935169.57000001</v>
      </c>
      <c r="P27" s="240">
        <f>'B3-FinPerf V'!K28</f>
        <v>101935169.57000001</v>
      </c>
      <c r="Q27" s="75">
        <f>'B3-FinPerf V'!L28</f>
        <v>107581613.86635</v>
      </c>
      <c r="R27" s="76">
        <f>'B3-FinPerf V'!M28</f>
        <v>113343004.28399923</v>
      </c>
    </row>
    <row r="28" spans="1:18" ht="12.75" customHeight="1" x14ac:dyDescent="0.25">
      <c r="A28" s="129" t="str">
        <f>'B3-FinPerf V'!A29</f>
        <v>Vote 5 - Community Services</v>
      </c>
      <c r="B28" s="129"/>
      <c r="C28" s="389">
        <v>9401108.9800000004</v>
      </c>
      <c r="D28" s="109">
        <v>9538065.3100000024</v>
      </c>
      <c r="E28" s="109">
        <v>10261348.57</v>
      </c>
      <c r="F28" s="109">
        <v>8723188.9100000001</v>
      </c>
      <c r="G28" s="109">
        <v>8546279.6600000001</v>
      </c>
      <c r="H28" s="388">
        <v>8662102.7599999998</v>
      </c>
      <c r="I28" s="389">
        <v>11192693.412308766</v>
      </c>
      <c r="J28" s="109">
        <v>9750514.6364746802</v>
      </c>
      <c r="K28" s="109">
        <v>9180137.7297511641</v>
      </c>
      <c r="L28" s="109">
        <v>11632953.33361038</v>
      </c>
      <c r="M28" s="109">
        <v>13532392.24429399</v>
      </c>
      <c r="N28" s="515">
        <f t="shared" si="5"/>
        <v>28291630.75356099</v>
      </c>
      <c r="O28" s="547">
        <f t="shared" si="6"/>
        <v>138712416.29999998</v>
      </c>
      <c r="P28" s="240">
        <f>'B3-FinPerf V'!K29</f>
        <v>138712416.29999998</v>
      </c>
      <c r="Q28" s="75">
        <f>'B3-FinPerf V'!L29</f>
        <v>144313472.48150003</v>
      </c>
      <c r="R28" s="76">
        <f>'B3-FinPerf V'!M29</f>
        <v>151560193.17298251</v>
      </c>
    </row>
    <row r="29" spans="1:18" ht="12.75" customHeight="1" x14ac:dyDescent="0.25">
      <c r="A29" s="129" t="str">
        <f>'B3-FinPerf V'!A30</f>
        <v>Vote 6 - Community Services</v>
      </c>
      <c r="B29" s="129"/>
      <c r="C29" s="389">
        <v>4332922.75</v>
      </c>
      <c r="D29" s="109">
        <v>8819434.2799999975</v>
      </c>
      <c r="E29" s="109">
        <v>7960863.629999999</v>
      </c>
      <c r="F29" s="109">
        <v>8387229.4500000002</v>
      </c>
      <c r="G29" s="109">
        <v>8065571.5000000009</v>
      </c>
      <c r="H29" s="388">
        <v>7649131.4800000014</v>
      </c>
      <c r="I29" s="389">
        <v>6441058.0776363574</v>
      </c>
      <c r="J29" s="109">
        <v>7087970.0085977698</v>
      </c>
      <c r="K29" s="109">
        <v>6708565.2963683521</v>
      </c>
      <c r="L29" s="109">
        <v>7035147.7839519111</v>
      </c>
      <c r="M29" s="109">
        <v>6290127.1426037094</v>
      </c>
      <c r="N29" s="515">
        <f t="shared" si="5"/>
        <v>1925730.6008418947</v>
      </c>
      <c r="O29" s="547">
        <f t="shared" si="6"/>
        <v>80703752</v>
      </c>
      <c r="P29" s="240">
        <f>'B3-FinPerf V'!K30</f>
        <v>80703752</v>
      </c>
      <c r="Q29" s="75">
        <f>'B3-FinPerf V'!L30</f>
        <v>81884170.550000012</v>
      </c>
      <c r="R29" s="76">
        <f>'B3-FinPerf V'!M30</f>
        <v>86385059.120250002</v>
      </c>
    </row>
    <row r="30" spans="1:18" ht="12.75" customHeight="1" x14ac:dyDescent="0.25">
      <c r="A30" s="129" t="str">
        <f>'B3-FinPerf V'!A31</f>
        <v>Vote 7 - Electrical Engineering Services</v>
      </c>
      <c r="B30" s="129"/>
      <c r="C30" s="389">
        <v>5884881.0899999989</v>
      </c>
      <c r="D30" s="109">
        <v>45557177.800000012</v>
      </c>
      <c r="E30" s="109">
        <v>6696583.4099999992</v>
      </c>
      <c r="F30" s="109">
        <v>22920058.800000001</v>
      </c>
      <c r="G30" s="109">
        <v>34252235.030000001</v>
      </c>
      <c r="H30" s="388">
        <v>78269800.640000001</v>
      </c>
      <c r="I30" s="389">
        <v>26743975.726420578</v>
      </c>
      <c r="J30" s="109">
        <v>42296253.819320284</v>
      </c>
      <c r="K30" s="109">
        <v>33315293.927736197</v>
      </c>
      <c r="L30" s="109">
        <v>40581722.898637421</v>
      </c>
      <c r="M30" s="109">
        <v>39301828.836666889</v>
      </c>
      <c r="N30" s="515">
        <f t="shared" si="5"/>
        <v>134738668.50121862</v>
      </c>
      <c r="O30" s="547">
        <f t="shared" si="6"/>
        <v>510558480.48000002</v>
      </c>
      <c r="P30" s="240">
        <f>'B3-FinPerf V'!K31</f>
        <v>510558480.48000002</v>
      </c>
      <c r="Q30" s="75">
        <f>'B3-FinPerf V'!L31</f>
        <v>531191520.11140019</v>
      </c>
      <c r="R30" s="76">
        <f>'B3-FinPerf V'!M31</f>
        <v>557508799.13252699</v>
      </c>
    </row>
    <row r="31" spans="1:18" ht="12.75" customHeight="1" x14ac:dyDescent="0.25">
      <c r="A31" s="129" t="str">
        <f>'B3-FinPerf V'!A32</f>
        <v>Vote 8 - Engineering Services</v>
      </c>
      <c r="B31" s="129"/>
      <c r="C31" s="389">
        <v>3551431.6700000004</v>
      </c>
      <c r="D31" s="109">
        <v>4915934.7999999989</v>
      </c>
      <c r="E31" s="109">
        <v>4518886.1900000013</v>
      </c>
      <c r="F31" s="109">
        <v>7535041.5000000009</v>
      </c>
      <c r="G31" s="109">
        <v>4538234.0400000019</v>
      </c>
      <c r="H31" s="388">
        <v>8573407.2899999991</v>
      </c>
      <c r="I31" s="389">
        <v>12880801.059555942</v>
      </c>
      <c r="J31" s="109">
        <v>14434366.520378469</v>
      </c>
      <c r="K31" s="109">
        <v>13858768.035363806</v>
      </c>
      <c r="L31" s="109">
        <v>10278499.148212399</v>
      </c>
      <c r="M31" s="109">
        <v>16258403.320307827</v>
      </c>
      <c r="N31" s="515">
        <f t="shared" si="5"/>
        <v>78728718.676181555</v>
      </c>
      <c r="O31" s="547">
        <f t="shared" si="6"/>
        <v>180072492.25</v>
      </c>
      <c r="P31" s="240">
        <f>'B3-FinPerf V'!K32</f>
        <v>180072492.25</v>
      </c>
      <c r="Q31" s="75">
        <f>'B3-FinPerf V'!L32</f>
        <v>182993402.29255003</v>
      </c>
      <c r="R31" s="76">
        <f>'B3-FinPerf V'!M32</f>
        <v>188509892.22364023</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609</v>
      </c>
      <c r="B39" s="548"/>
      <c r="C39" s="303">
        <f t="shared" ref="C39:R39" si="7">SUM(C24:C38)</f>
        <v>41706211.290000007</v>
      </c>
      <c r="D39" s="151">
        <f t="shared" si="7"/>
        <v>90414063.190000013</v>
      </c>
      <c r="E39" s="151">
        <f t="shared" si="7"/>
        <v>47816806.379999995</v>
      </c>
      <c r="F39" s="151">
        <f t="shared" si="7"/>
        <v>69182823.340000004</v>
      </c>
      <c r="G39" s="151">
        <f t="shared" si="7"/>
        <v>73861719.440000013</v>
      </c>
      <c r="H39" s="528">
        <f t="shared" si="7"/>
        <v>119763728.25999999</v>
      </c>
      <c r="I39" s="303">
        <f t="shared" si="7"/>
        <v>78975951.887131929</v>
      </c>
      <c r="J39" s="151">
        <f t="shared" si="7"/>
        <v>89506420.019543543</v>
      </c>
      <c r="K39" s="151">
        <f t="shared" si="7"/>
        <v>89765702.486685142</v>
      </c>
      <c r="L39" s="151">
        <f t="shared" si="7"/>
        <v>90365488.402917653</v>
      </c>
      <c r="M39" s="151">
        <f t="shared" si="7"/>
        <v>93937491.132642895</v>
      </c>
      <c r="N39" s="528">
        <f t="shared" si="7"/>
        <v>298843210.25107878</v>
      </c>
      <c r="O39" s="549">
        <f t="shared" si="7"/>
        <v>1184139616.0799999</v>
      </c>
      <c r="P39" s="303">
        <f t="shared" si="7"/>
        <v>1184139616.0799999</v>
      </c>
      <c r="Q39" s="151">
        <f t="shared" si="7"/>
        <v>1220134066.6282003</v>
      </c>
      <c r="R39" s="152">
        <f t="shared" si="7"/>
        <v>1278822450.977751</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224583884.33999997</v>
      </c>
      <c r="D41" s="117">
        <f t="shared" si="8"/>
        <v>-18771304.700000018</v>
      </c>
      <c r="E41" s="117">
        <f t="shared" si="8"/>
        <v>19520490.970000014</v>
      </c>
      <c r="F41" s="117">
        <f t="shared" si="8"/>
        <v>1490724.6000000089</v>
      </c>
      <c r="G41" s="117">
        <f t="shared" si="8"/>
        <v>-3310402.3900000155</v>
      </c>
      <c r="H41" s="529">
        <f t="shared" si="8"/>
        <v>74128933.919999987</v>
      </c>
      <c r="I41" s="116">
        <f t="shared" si="8"/>
        <v>-16634228.24513483</v>
      </c>
      <c r="J41" s="117">
        <f t="shared" si="8"/>
        <v>-34960083.663276665</v>
      </c>
      <c r="K41" s="117">
        <f t="shared" si="8"/>
        <v>67640573.986186609</v>
      </c>
      <c r="L41" s="117">
        <f t="shared" si="8"/>
        <v>-33322176.879691653</v>
      </c>
      <c r="M41" s="117">
        <f t="shared" si="8"/>
        <v>-38733581.777154349</v>
      </c>
      <c r="N41" s="529">
        <f t="shared" si="8"/>
        <v>-249484873.24092907</v>
      </c>
      <c r="O41" s="550">
        <f t="shared" si="8"/>
        <v>-7852043.0799999237</v>
      </c>
      <c r="P41" s="116">
        <f t="shared" si="8"/>
        <v>-7852043.0799999237</v>
      </c>
      <c r="Q41" s="117">
        <f t="shared" si="8"/>
        <v>29905772.886799574</v>
      </c>
      <c r="R41" s="118">
        <f t="shared" si="8"/>
        <v>49427149.710573912</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4" activePane="bottomRight" state="frozen"/>
      <selection activeCell="C6" sqref="C6"/>
      <selection pane="topRight" activeCell="C6" sqref="C6"/>
      <selection pane="bottomLeft" activeCell="C6" sqref="C6"/>
      <selection pane="bottomRight" activeCell="K24" sqref="K24"/>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LIM333 Greater Tzaneen - Supporting Table SB13 Adjustments Budget - monthly revenue and expenditure (functional classification) - 27/02/2019</v>
      </c>
      <c r="B1" s="57"/>
      <c r="D1" s="58"/>
    </row>
    <row r="2" spans="1:19" ht="25.5" x14ac:dyDescent="0.25">
      <c r="A2" s="1398" t="str">
        <f>desc&amp;" - Standard classification"</f>
        <v>Description - Standard classification</v>
      </c>
      <c r="B2" s="1393" t="str">
        <f>head27</f>
        <v>Ref</v>
      </c>
      <c r="C2" s="1390" t="str">
        <f>Head2</f>
        <v>Budget Year 2018/19</v>
      </c>
      <c r="D2" s="1391"/>
      <c r="E2" s="1391"/>
      <c r="F2" s="1391"/>
      <c r="G2" s="1391"/>
      <c r="H2" s="1391"/>
      <c r="I2" s="1391"/>
      <c r="J2" s="1391"/>
      <c r="K2" s="1391"/>
      <c r="L2" s="1391"/>
      <c r="M2" s="1391"/>
      <c r="N2" s="1392"/>
      <c r="O2" s="534"/>
      <c r="P2" s="535" t="s">
        <v>227</v>
      </c>
      <c r="Q2" s="536"/>
      <c r="R2" s="537"/>
    </row>
    <row r="3" spans="1:19"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9" ht="25.5" x14ac:dyDescent="0.25">
      <c r="A4" s="542" t="s">
        <v>605</v>
      </c>
      <c r="B4" s="298"/>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54"/>
      <c r="P4" s="555" t="str">
        <f>Head7</f>
        <v>Adjusted Budget</v>
      </c>
      <c r="Q4" s="556" t="str">
        <f>Head7</f>
        <v>Adjusted Budget</v>
      </c>
      <c r="R4" s="557" t="str">
        <f>Head7</f>
        <v>Adjusted Budget</v>
      </c>
    </row>
    <row r="5" spans="1:19" ht="12.75" customHeight="1" x14ac:dyDescent="0.25">
      <c r="A5" s="558" t="s">
        <v>1582</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153093974.25</v>
      </c>
      <c r="D6" s="257">
        <f t="shared" si="2"/>
        <v>12922179.01</v>
      </c>
      <c r="E6" s="257">
        <f t="shared" si="2"/>
        <v>12217184.15</v>
      </c>
      <c r="F6" s="257">
        <f t="shared" si="2"/>
        <v>12710538.5</v>
      </c>
      <c r="G6" s="257">
        <f t="shared" si="2"/>
        <v>13549703.16</v>
      </c>
      <c r="H6" s="714">
        <f t="shared" si="2"/>
        <v>123213991.20999999</v>
      </c>
      <c r="I6" s="715">
        <f t="shared" si="2"/>
        <v>14416389.9964447</v>
      </c>
      <c r="J6" s="257">
        <f t="shared" si="2"/>
        <v>10450229.1409615</v>
      </c>
      <c r="K6" s="257">
        <f t="shared" si="2"/>
        <v>75823266.348118499</v>
      </c>
      <c r="L6" s="257">
        <f t="shared" si="2"/>
        <v>11975486.2189789</v>
      </c>
      <c r="M6" s="257">
        <f t="shared" si="2"/>
        <v>10373370.240641</v>
      </c>
      <c r="N6" s="523">
        <f t="shared" ref="N6:N25" si="3">P6-SUM(C6:M6)</f>
        <v>-529305.22514456511</v>
      </c>
      <c r="O6" s="562">
        <f t="shared" ref="O6:O25" si="4">SUM(C6:N6)</f>
        <v>450217007</v>
      </c>
      <c r="P6" s="483">
        <f>'B2-FinPerf SC'!K7</f>
        <v>450217007</v>
      </c>
      <c r="Q6" s="141">
        <f>'B2-FinPerf SC'!L7</f>
        <v>495325047.38500005</v>
      </c>
      <c r="R6" s="142">
        <f>'B2-FinPerf SC'!M7</f>
        <v>536357959.99117494</v>
      </c>
      <c r="S6" s="128"/>
    </row>
    <row r="7" spans="1:19" ht="12.75" customHeight="1" x14ac:dyDescent="0.25">
      <c r="A7" s="108" t="str">
        <f>'B2-FinPerf SC'!A8</f>
        <v>Executive and council</v>
      </c>
      <c r="B7" s="129"/>
      <c r="C7" s="109"/>
      <c r="D7" s="109"/>
      <c r="E7" s="109"/>
      <c r="F7" s="109"/>
      <c r="G7" s="109"/>
      <c r="H7" s="388"/>
      <c r="I7" s="389"/>
      <c r="J7" s="109"/>
      <c r="K7" s="109"/>
      <c r="L7" s="109"/>
      <c r="M7" s="109"/>
      <c r="N7" s="515">
        <f t="shared" si="3"/>
        <v>1100</v>
      </c>
      <c r="O7" s="547">
        <f t="shared" si="4"/>
        <v>1100</v>
      </c>
      <c r="P7" s="240">
        <f>'B2-FinPerf SC'!K8</f>
        <v>1100</v>
      </c>
      <c r="Q7" s="75">
        <f>'B2-FinPerf SC'!L8</f>
        <v>1160.5</v>
      </c>
      <c r="R7" s="76">
        <f>'B2-FinPerf SC'!M8</f>
        <v>1224.3275000000001</v>
      </c>
      <c r="S7" s="128"/>
    </row>
    <row r="8" spans="1:19" ht="12.75" customHeight="1" x14ac:dyDescent="0.25">
      <c r="A8" s="108" t="str">
        <f>'B2-FinPerf SC'!A9</f>
        <v>Finance and administration</v>
      </c>
      <c r="B8" s="129"/>
      <c r="C8" s="111">
        <v>153093974.25</v>
      </c>
      <c r="D8" s="111">
        <v>12922179.01</v>
      </c>
      <c r="E8" s="111">
        <v>12217184.15</v>
      </c>
      <c r="F8" s="111">
        <v>12710538.5</v>
      </c>
      <c r="G8" s="111">
        <v>13549703.16</v>
      </c>
      <c r="H8" s="563">
        <v>123213991.20999999</v>
      </c>
      <c r="I8" s="564">
        <v>14416389.9964447</v>
      </c>
      <c r="J8" s="111">
        <v>10450229.1409615</v>
      </c>
      <c r="K8" s="111">
        <v>75823266.348118499</v>
      </c>
      <c r="L8" s="111">
        <v>11975486.2189789</v>
      </c>
      <c r="M8" s="111">
        <v>10373370.240641</v>
      </c>
      <c r="N8" s="515">
        <f t="shared" si="3"/>
        <v>-530405.22514456511</v>
      </c>
      <c r="O8" s="547">
        <f t="shared" si="4"/>
        <v>450215907</v>
      </c>
      <c r="P8" s="240">
        <f>'B2-FinPerf SC'!K9</f>
        <v>450215907</v>
      </c>
      <c r="Q8" s="75">
        <f>'B2-FinPerf SC'!L9</f>
        <v>495323886.88500005</v>
      </c>
      <c r="R8" s="76">
        <f>'B2-FinPerf SC'!M9</f>
        <v>536356735.66367495</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242834.81000000003</v>
      </c>
      <c r="D10" s="257">
        <f t="shared" si="5"/>
        <v>459969.12</v>
      </c>
      <c r="E10" s="257">
        <f t="shared" si="5"/>
        <v>242336.53</v>
      </c>
      <c r="F10" s="257">
        <f t="shared" si="5"/>
        <v>974193.26</v>
      </c>
      <c r="G10" s="257">
        <f t="shared" si="5"/>
        <v>259924.51</v>
      </c>
      <c r="H10" s="714">
        <f t="shared" si="5"/>
        <v>627166.69000000006</v>
      </c>
      <c r="I10" s="715">
        <f t="shared" si="5"/>
        <v>464066.9373276268</v>
      </c>
      <c r="J10" s="257">
        <f t="shared" si="5"/>
        <v>414986.33808576211</v>
      </c>
      <c r="K10" s="257">
        <f t="shared" si="5"/>
        <v>325964.11928084574</v>
      </c>
      <c r="L10" s="257">
        <f t="shared" si="5"/>
        <v>586401.44699479768</v>
      </c>
      <c r="M10" s="257">
        <f t="shared" si="5"/>
        <v>457520.81853451597</v>
      </c>
      <c r="N10" s="523">
        <f t="shared" si="3"/>
        <v>1862255.4197764518</v>
      </c>
      <c r="O10" s="562">
        <f t="shared" si="4"/>
        <v>6917620</v>
      </c>
      <c r="P10" s="483">
        <f>'B2-FinPerf SC'!K11</f>
        <v>6917620</v>
      </c>
      <c r="Q10" s="141">
        <f>'B2-FinPerf SC'!L11</f>
        <v>7298089.0999999996</v>
      </c>
      <c r="R10" s="142">
        <f>'B2-FinPerf SC'!M11</f>
        <v>7699484.0005000001</v>
      </c>
      <c r="S10" s="128"/>
    </row>
    <row r="11" spans="1:19" ht="12.75" customHeight="1" x14ac:dyDescent="0.25">
      <c r="A11" s="108" t="str">
        <f>'B2-FinPerf SC'!A12</f>
        <v>Community and social services</v>
      </c>
      <c r="B11" s="129"/>
      <c r="C11" s="109">
        <v>2331.5</v>
      </c>
      <c r="D11" s="109">
        <v>1326</v>
      </c>
      <c r="E11" s="109">
        <v>2459</v>
      </c>
      <c r="F11" s="109">
        <v>3291</v>
      </c>
      <c r="G11" s="109">
        <v>2709</v>
      </c>
      <c r="H11" s="388">
        <v>4994.5</v>
      </c>
      <c r="I11" s="389">
        <v>1307.1600873548</v>
      </c>
      <c r="J11" s="109">
        <v>7031.7395085999797</v>
      </c>
      <c r="K11" s="109">
        <v>5075.3476015493397</v>
      </c>
      <c r="L11" s="109">
        <v>4293.8373558590802</v>
      </c>
      <c r="M11" s="109">
        <v>6948.9140608523803</v>
      </c>
      <c r="N11" s="515">
        <f t="shared" si="3"/>
        <v>23861.001385784417</v>
      </c>
      <c r="O11" s="547">
        <f t="shared" si="4"/>
        <v>65629</v>
      </c>
      <c r="P11" s="240">
        <f>'B2-FinPerf SC'!K12</f>
        <v>65629</v>
      </c>
      <c r="Q11" s="75">
        <f>'B2-FinPerf SC'!L12</f>
        <v>69238.595000000001</v>
      </c>
      <c r="R11" s="76">
        <f>'B2-FinPerf SC'!M12</f>
        <v>73046.717724999995</v>
      </c>
      <c r="S11" s="128"/>
    </row>
    <row r="12" spans="1:19" ht="12.75" customHeight="1" x14ac:dyDescent="0.25">
      <c r="A12" s="108" t="str">
        <f>'B2-FinPerf SC'!A13</f>
        <v>Sport and recreation</v>
      </c>
      <c r="B12" s="129"/>
      <c r="C12" s="109">
        <v>17990</v>
      </c>
      <c r="D12" s="109">
        <v>12302</v>
      </c>
      <c r="E12" s="109">
        <v>12177</v>
      </c>
      <c r="F12" s="109">
        <v>14628</v>
      </c>
      <c r="G12" s="109">
        <v>5895</v>
      </c>
      <c r="H12" s="388">
        <v>5964</v>
      </c>
      <c r="I12" s="389">
        <v>15886.4166717649</v>
      </c>
      <c r="J12" s="109">
        <v>5330.8377195430903</v>
      </c>
      <c r="K12" s="109">
        <v>2589.0071174893501</v>
      </c>
      <c r="L12" s="109">
        <v>7469.0818048564297</v>
      </c>
      <c r="M12" s="109">
        <v>5934.8654247475397</v>
      </c>
      <c r="N12" s="515">
        <f t="shared" si="3"/>
        <v>454599.7912615987</v>
      </c>
      <c r="O12" s="547">
        <f t="shared" si="4"/>
        <v>560766</v>
      </c>
      <c r="P12" s="240">
        <f>'B2-FinPerf SC'!K13</f>
        <v>560766</v>
      </c>
      <c r="Q12" s="75">
        <f>'B2-FinPerf SC'!L13</f>
        <v>591608.13</v>
      </c>
      <c r="R12" s="76">
        <f>'B2-FinPerf SC'!M13</f>
        <v>624146.57715000003</v>
      </c>
      <c r="S12" s="128"/>
    </row>
    <row r="13" spans="1:19" ht="12.75" customHeight="1" x14ac:dyDescent="0.25">
      <c r="A13" s="108" t="str">
        <f>'B2-FinPerf SC'!A14</f>
        <v>Public safety</v>
      </c>
      <c r="B13" s="129"/>
      <c r="C13" s="109">
        <v>-3353.52</v>
      </c>
      <c r="D13" s="109">
        <v>239535.97</v>
      </c>
      <c r="E13" s="109">
        <v>22139.57</v>
      </c>
      <c r="F13" s="109">
        <v>492480.01</v>
      </c>
      <c r="G13" s="109">
        <v>2250</v>
      </c>
      <c r="H13" s="388">
        <v>404520.02</v>
      </c>
      <c r="I13" s="389">
        <v>284586.59751891601</v>
      </c>
      <c r="J13" s="109">
        <v>228596.635063881</v>
      </c>
      <c r="K13" s="109">
        <v>112599.45412250199</v>
      </c>
      <c r="L13" s="109">
        <v>307423.79361611302</v>
      </c>
      <c r="M13" s="109">
        <v>260359.40669772599</v>
      </c>
      <c r="N13" s="515">
        <f t="shared" si="3"/>
        <v>1649862.0629808619</v>
      </c>
      <c r="O13" s="547">
        <f t="shared" si="4"/>
        <v>4001000</v>
      </c>
      <c r="P13" s="240">
        <f>'B2-FinPerf SC'!K14</f>
        <v>4001000</v>
      </c>
      <c r="Q13" s="75">
        <f>'B2-FinPerf SC'!L14</f>
        <v>4221055</v>
      </c>
      <c r="R13" s="76">
        <f>'B2-FinPerf SC'!M14</f>
        <v>4453213.0250000004</v>
      </c>
      <c r="S13" s="128"/>
    </row>
    <row r="14" spans="1:19" ht="12.75" customHeight="1" x14ac:dyDescent="0.25">
      <c r="A14" s="108" t="str">
        <f>'B2-FinPerf SC'!A15</f>
        <v>Housing</v>
      </c>
      <c r="B14" s="129"/>
      <c r="C14" s="109">
        <v>224799.98</v>
      </c>
      <c r="D14" s="109">
        <v>205738.3</v>
      </c>
      <c r="E14" s="109">
        <v>204494.11</v>
      </c>
      <c r="F14" s="109">
        <v>462727.4</v>
      </c>
      <c r="G14" s="109">
        <v>248003.66</v>
      </c>
      <c r="H14" s="388">
        <v>210621.32</v>
      </c>
      <c r="I14" s="389">
        <v>158477.59840214299</v>
      </c>
      <c r="J14" s="109">
        <v>172997.88388151399</v>
      </c>
      <c r="K14" s="109">
        <v>204671.06852708099</v>
      </c>
      <c r="L14" s="109">
        <v>266185.49230574502</v>
      </c>
      <c r="M14" s="109">
        <v>183248.39043896599</v>
      </c>
      <c r="N14" s="515">
        <f t="shared" si="3"/>
        <v>-276740.20355544891</v>
      </c>
      <c r="O14" s="547">
        <f t="shared" si="4"/>
        <v>2265225</v>
      </c>
      <c r="P14" s="240">
        <f>'B2-FinPerf SC'!K15</f>
        <v>2265225</v>
      </c>
      <c r="Q14" s="75">
        <f>'B2-FinPerf SC'!L15</f>
        <v>2389812.375</v>
      </c>
      <c r="R14" s="76">
        <f>'B2-FinPerf SC'!M15</f>
        <v>2521252.055625</v>
      </c>
      <c r="S14" s="128"/>
    </row>
    <row r="15" spans="1:19" ht="12.75" customHeight="1" x14ac:dyDescent="0.25">
      <c r="A15" s="108" t="str">
        <f>'B2-FinPerf SC'!A16</f>
        <v>Health</v>
      </c>
      <c r="B15" s="129"/>
      <c r="C15" s="111">
        <v>1066.8499999999999</v>
      </c>
      <c r="D15" s="111">
        <v>1066.8499999999999</v>
      </c>
      <c r="E15" s="111">
        <v>1066.8499999999999</v>
      </c>
      <c r="F15" s="111">
        <v>1066.8499999999999</v>
      </c>
      <c r="G15" s="111">
        <v>1066.8499999999999</v>
      </c>
      <c r="H15" s="563">
        <v>1066.8499999999999</v>
      </c>
      <c r="I15" s="564">
        <v>3809.1646474481099</v>
      </c>
      <c r="J15" s="111">
        <v>1029.2419122240999</v>
      </c>
      <c r="K15" s="111">
        <v>1029.2419122240999</v>
      </c>
      <c r="L15" s="111">
        <v>1029.2419122240999</v>
      </c>
      <c r="M15" s="111">
        <v>1029.2419122240999</v>
      </c>
      <c r="N15" s="515">
        <f t="shared" si="3"/>
        <v>10672.767703655489</v>
      </c>
      <c r="O15" s="547">
        <f t="shared" si="4"/>
        <v>25000</v>
      </c>
      <c r="P15" s="240">
        <f>'B2-FinPerf SC'!K16</f>
        <v>25000</v>
      </c>
      <c r="Q15" s="75">
        <f>'B2-FinPerf SC'!L16</f>
        <v>26375</v>
      </c>
      <c r="R15" s="76">
        <f>'B2-FinPerf SC'!M16</f>
        <v>27825.625</v>
      </c>
      <c r="S15" s="128"/>
    </row>
    <row r="16" spans="1:19" ht="12.75" customHeight="1" x14ac:dyDescent="0.25">
      <c r="A16" s="107" t="str">
        <f>'B2-FinPerf SC'!A17</f>
        <v>Economic and environmental services</v>
      </c>
      <c r="B16" s="129"/>
      <c r="C16" s="257">
        <f t="shared" ref="C16:M16" si="6">SUM(C17:C19)</f>
        <v>60169994.75</v>
      </c>
      <c r="D16" s="257">
        <f t="shared" si="6"/>
        <v>5285153.53</v>
      </c>
      <c r="E16" s="257">
        <f t="shared" si="6"/>
        <v>5244889.32</v>
      </c>
      <c r="F16" s="257">
        <f t="shared" si="6"/>
        <v>4995604.0199999996</v>
      </c>
      <c r="G16" s="257">
        <f t="shared" si="6"/>
        <v>4498498.68</v>
      </c>
      <c r="H16" s="714">
        <f t="shared" si="6"/>
        <v>26700934.710000001</v>
      </c>
      <c r="I16" s="715">
        <f t="shared" si="6"/>
        <v>6978581.1460586172</v>
      </c>
      <c r="J16" s="257">
        <f t="shared" si="6"/>
        <v>6049710.5919823376</v>
      </c>
      <c r="K16" s="257">
        <f t="shared" si="6"/>
        <v>19052354.678042669</v>
      </c>
      <c r="L16" s="257">
        <f t="shared" si="6"/>
        <v>2770830.384826499</v>
      </c>
      <c r="M16" s="257">
        <f t="shared" si="6"/>
        <v>3677121.4729229757</v>
      </c>
      <c r="N16" s="523">
        <f t="shared" si="3"/>
        <v>-1359727.2838331163</v>
      </c>
      <c r="O16" s="562">
        <f t="shared" si="4"/>
        <v>144063946</v>
      </c>
      <c r="P16" s="483">
        <f>'B2-FinPerf SC'!K17</f>
        <v>144063946</v>
      </c>
      <c r="Q16" s="141">
        <f>'B2-FinPerf SC'!L17</f>
        <v>149385638.03</v>
      </c>
      <c r="R16" s="142">
        <f>'B2-FinPerf SC'!M17</f>
        <v>157804383.12165001</v>
      </c>
      <c r="S16" s="128"/>
    </row>
    <row r="17" spans="1:19" ht="12.75" customHeight="1" x14ac:dyDescent="0.25">
      <c r="A17" s="108" t="str">
        <f>'B2-FinPerf SC'!A18</f>
        <v>Planning and development</v>
      </c>
      <c r="B17" s="129"/>
      <c r="C17" s="109">
        <v>8215</v>
      </c>
      <c r="D17" s="109">
        <v>11680</v>
      </c>
      <c r="E17" s="109">
        <v>21660</v>
      </c>
      <c r="F17" s="109">
        <v>57345</v>
      </c>
      <c r="G17" s="109">
        <v>20470</v>
      </c>
      <c r="H17" s="388">
        <v>8980</v>
      </c>
      <c r="I17" s="389">
        <v>12698.830024977</v>
      </c>
      <c r="J17" s="109">
        <v>14276.3244380176</v>
      </c>
      <c r="K17" s="109">
        <v>32318.916787169699</v>
      </c>
      <c r="L17" s="109">
        <v>4909.9513605889297</v>
      </c>
      <c r="M17" s="109">
        <v>16228.4737741554</v>
      </c>
      <c r="N17" s="515">
        <f t="shared" si="3"/>
        <v>354772.50361509138</v>
      </c>
      <c r="O17" s="547">
        <f t="shared" si="4"/>
        <v>563555</v>
      </c>
      <c r="P17" s="240">
        <f>'B2-FinPerf SC'!K18</f>
        <v>563555</v>
      </c>
      <c r="Q17" s="75">
        <f>'B2-FinPerf SC'!L18</f>
        <v>594550.52500000002</v>
      </c>
      <c r="R17" s="76">
        <f>'B2-FinPerf SC'!M18</f>
        <v>627250.80387499998</v>
      </c>
      <c r="S17" s="128"/>
    </row>
    <row r="18" spans="1:19" ht="12.75" customHeight="1" x14ac:dyDescent="0.25">
      <c r="A18" s="108" t="str">
        <f>'B2-FinPerf SC'!A19</f>
        <v>Road transport</v>
      </c>
      <c r="B18" s="129"/>
      <c r="C18" s="109">
        <v>60161779.75</v>
      </c>
      <c r="D18" s="109">
        <v>5273473.53</v>
      </c>
      <c r="E18" s="109">
        <v>5223229.32</v>
      </c>
      <c r="F18" s="109">
        <v>4938259.0199999996</v>
      </c>
      <c r="G18" s="109">
        <v>4478028.68</v>
      </c>
      <c r="H18" s="388">
        <v>26691954.710000001</v>
      </c>
      <c r="I18" s="389">
        <v>6965882.3160336399</v>
      </c>
      <c r="J18" s="109">
        <v>6035434.2675443199</v>
      </c>
      <c r="K18" s="109">
        <v>19020035.761255499</v>
      </c>
      <c r="L18" s="109">
        <v>2765920.4334659101</v>
      </c>
      <c r="M18" s="109">
        <v>3660892.9991488201</v>
      </c>
      <c r="N18" s="515">
        <f t="shared" si="3"/>
        <v>-1714499.7874481678</v>
      </c>
      <c r="O18" s="547">
        <f t="shared" si="4"/>
        <v>143500391</v>
      </c>
      <c r="P18" s="240">
        <f>'B2-FinPerf SC'!K19</f>
        <v>143500391</v>
      </c>
      <c r="Q18" s="75">
        <f>'B2-FinPerf SC'!L19</f>
        <v>148791087.505</v>
      </c>
      <c r="R18" s="76">
        <f>'B2-FinPerf SC'!M19</f>
        <v>157177132.31777501</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52783291.82</v>
      </c>
      <c r="D20" s="257">
        <f t="shared" ref="D20:M20" si="7">SUM(D21:D24)</f>
        <v>52975456.829999998</v>
      </c>
      <c r="E20" s="257">
        <f t="shared" si="7"/>
        <v>49632887.350000001</v>
      </c>
      <c r="F20" s="257">
        <f t="shared" si="7"/>
        <v>51993212.160000004</v>
      </c>
      <c r="G20" s="257">
        <f t="shared" si="7"/>
        <v>52243190.539999999</v>
      </c>
      <c r="H20" s="714">
        <f t="shared" si="7"/>
        <v>43350569.57</v>
      </c>
      <c r="I20" s="715">
        <f t="shared" si="7"/>
        <v>40482685.562166154</v>
      </c>
      <c r="J20" s="257">
        <f t="shared" si="7"/>
        <v>37631410.285237283</v>
      </c>
      <c r="K20" s="257">
        <f t="shared" si="7"/>
        <v>62204691.327429697</v>
      </c>
      <c r="L20" s="257">
        <f t="shared" si="7"/>
        <v>41710593.472425789</v>
      </c>
      <c r="M20" s="257">
        <f t="shared" si="7"/>
        <v>40695896.823390052</v>
      </c>
      <c r="N20" s="523">
        <f>P20-SUM(C20:M20)</f>
        <v>49385114.259351075</v>
      </c>
      <c r="O20" s="562">
        <f t="shared" si="4"/>
        <v>575089000</v>
      </c>
      <c r="P20" s="483">
        <f>'B2-FinPerf SC'!K21</f>
        <v>575089000</v>
      </c>
      <c r="Q20" s="141">
        <f>'B2-FinPerf SC'!L21</f>
        <v>598031065</v>
      </c>
      <c r="R20" s="142">
        <f>'B2-FinPerf SC'!M21</f>
        <v>626387773.57499993</v>
      </c>
      <c r="S20" s="128"/>
    </row>
    <row r="21" spans="1:19" ht="12.75" customHeight="1" x14ac:dyDescent="0.25">
      <c r="A21" s="108" t="str">
        <f>'B2-FinPerf SC'!A22</f>
        <v>Energy sources</v>
      </c>
      <c r="B21" s="129"/>
      <c r="C21" s="109">
        <v>49836816.340000004</v>
      </c>
      <c r="D21" s="109">
        <v>50003858.170000002</v>
      </c>
      <c r="E21" s="109">
        <v>46837071.240000002</v>
      </c>
      <c r="F21" s="109">
        <v>49311646.200000003</v>
      </c>
      <c r="G21" s="109">
        <v>46892388.170000002</v>
      </c>
      <c r="H21" s="388">
        <v>39279986.350000001</v>
      </c>
      <c r="I21" s="389">
        <v>38093938.187088497</v>
      </c>
      <c r="J21" s="109">
        <v>33160643.897537202</v>
      </c>
      <c r="K21" s="109">
        <v>37870505.332612</v>
      </c>
      <c r="L21" s="109">
        <v>39022399.106763899</v>
      </c>
      <c r="M21" s="109">
        <v>38129467.260380603</v>
      </c>
      <c r="N21" s="515">
        <f t="shared" si="3"/>
        <v>48908279.745617747</v>
      </c>
      <c r="O21" s="547">
        <f t="shared" si="4"/>
        <v>517347000</v>
      </c>
      <c r="P21" s="240">
        <f>'B2-FinPerf SC'!K22</f>
        <v>517347000</v>
      </c>
      <c r="Q21" s="75">
        <f>'B2-FinPerf SC'!L22</f>
        <v>544925305</v>
      </c>
      <c r="R21" s="76">
        <f>'B2-FinPerf SC'!M22</f>
        <v>570516196.77499998</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2946475.48</v>
      </c>
      <c r="D24" s="109">
        <v>2971598.66</v>
      </c>
      <c r="E24" s="109">
        <v>2795816.11</v>
      </c>
      <c r="F24" s="109">
        <v>2681565.96</v>
      </c>
      <c r="G24" s="109">
        <v>5350802.37</v>
      </c>
      <c r="H24" s="388">
        <v>4070583.22</v>
      </c>
      <c r="I24" s="389">
        <v>2388747.3750776602</v>
      </c>
      <c r="J24" s="109">
        <v>4470766.3877000799</v>
      </c>
      <c r="K24" s="109">
        <v>24334185.9948177</v>
      </c>
      <c r="L24" s="109">
        <v>2688194.3656618898</v>
      </c>
      <c r="M24" s="109">
        <v>2566429.5630094502</v>
      </c>
      <c r="N24" s="515">
        <f t="shared" si="3"/>
        <v>476834.51373321563</v>
      </c>
      <c r="O24" s="547">
        <f t="shared" si="4"/>
        <v>57742000</v>
      </c>
      <c r="P24" s="240">
        <f>'B2-FinPerf SC'!K25</f>
        <v>57742000</v>
      </c>
      <c r="Q24" s="75">
        <f>'B2-FinPerf SC'!L25</f>
        <v>53105760</v>
      </c>
      <c r="R24" s="76">
        <f>'B2-FinPerf SC'!M25</f>
        <v>55871576.799999997</v>
      </c>
      <c r="S24" s="128"/>
    </row>
    <row r="25" spans="1:19" ht="12.75" customHeight="1" x14ac:dyDescent="0.25">
      <c r="A25" s="107" t="str">
        <f>'B2-FinPerf SC'!A26</f>
        <v>Other</v>
      </c>
      <c r="B25" s="129"/>
      <c r="C25" s="821"/>
      <c r="D25" s="821"/>
      <c r="E25" s="821"/>
      <c r="F25" s="821"/>
      <c r="G25" s="821"/>
      <c r="H25" s="886"/>
      <c r="I25" s="887"/>
      <c r="J25" s="821"/>
      <c r="K25" s="821"/>
      <c r="L25" s="821"/>
      <c r="M25" s="821"/>
      <c r="N25" s="523">
        <f t="shared" si="3"/>
        <v>0</v>
      </c>
      <c r="O25" s="562">
        <f t="shared" si="4"/>
        <v>0</v>
      </c>
      <c r="P25" s="483">
        <f>'B2-FinPerf SC'!K26</f>
        <v>0</v>
      </c>
      <c r="Q25" s="141">
        <f>'B2-FinPerf SC'!L26</f>
        <v>0</v>
      </c>
      <c r="R25" s="142">
        <f>'B2-FinPerf SC'!M26</f>
        <v>0</v>
      </c>
      <c r="S25" s="128"/>
    </row>
    <row r="26" spans="1:19" ht="12.75" customHeight="1" x14ac:dyDescent="0.25">
      <c r="A26" s="162" t="s">
        <v>1589</v>
      </c>
      <c r="B26" s="162"/>
      <c r="C26" s="114">
        <f>C6+C10+C16+C20+C25</f>
        <v>266290095.63</v>
      </c>
      <c r="D26" s="114">
        <f>D6+D10+D16+D20+D25</f>
        <v>71642758.489999995</v>
      </c>
      <c r="E26" s="691">
        <f>E6+E10+E16+E20+E25</f>
        <v>67337297.349999994</v>
      </c>
      <c r="F26" s="691">
        <f t="shared" ref="F26:R26" si="8">F6+F10+F16+F20+F25</f>
        <v>70673547.939999998</v>
      </c>
      <c r="G26" s="691">
        <f t="shared" si="8"/>
        <v>70551316.890000001</v>
      </c>
      <c r="H26" s="695">
        <f t="shared" si="8"/>
        <v>193892662.17999998</v>
      </c>
      <c r="I26" s="688">
        <f t="shared" si="8"/>
        <v>62341723.641997099</v>
      </c>
      <c r="J26" s="691">
        <f t="shared" si="8"/>
        <v>54546336.356266886</v>
      </c>
      <c r="K26" s="691">
        <f t="shared" si="8"/>
        <v>157406276.47287172</v>
      </c>
      <c r="L26" s="691">
        <f t="shared" si="8"/>
        <v>57043311.523225985</v>
      </c>
      <c r="M26" s="691">
        <f t="shared" si="8"/>
        <v>55203909.355488539</v>
      </c>
      <c r="N26" s="696">
        <f t="shared" si="8"/>
        <v>49358337.170149848</v>
      </c>
      <c r="O26" s="697">
        <f t="shared" si="8"/>
        <v>1176287573</v>
      </c>
      <c r="P26" s="688">
        <f t="shared" si="8"/>
        <v>1176287573</v>
      </c>
      <c r="Q26" s="689">
        <f t="shared" si="8"/>
        <v>1250039839.5150001</v>
      </c>
      <c r="R26" s="690">
        <f t="shared" si="8"/>
        <v>1328249600.6883249</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1583</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16526007.380000003</v>
      </c>
      <c r="D29" s="257">
        <f t="shared" si="10"/>
        <v>18481064.460000001</v>
      </c>
      <c r="E29" s="257">
        <f t="shared" si="10"/>
        <v>16129920.740000002</v>
      </c>
      <c r="F29" s="257">
        <f t="shared" si="10"/>
        <v>19698299.510000005</v>
      </c>
      <c r="G29" s="257">
        <f t="shared" si="10"/>
        <v>16408148.08</v>
      </c>
      <c r="H29" s="714">
        <f t="shared" si="10"/>
        <v>15987835.200000001</v>
      </c>
      <c r="I29" s="715">
        <f t="shared" si="10"/>
        <v>20164962.285187665</v>
      </c>
      <c r="J29" s="257">
        <f t="shared" si="10"/>
        <v>17258138.103367221</v>
      </c>
      <c r="K29" s="257">
        <f t="shared" si="10"/>
        <v>23269649.890179988</v>
      </c>
      <c r="L29" s="257">
        <f t="shared" si="10"/>
        <v>15871850.931445871</v>
      </c>
      <c r="M29" s="257">
        <f t="shared" si="10"/>
        <v>16910962.874745913</v>
      </c>
      <c r="N29" s="523">
        <f t="shared" ref="N29:N48" si="11">P29-SUM(C29:M29)</f>
        <v>58970486.005073369</v>
      </c>
      <c r="O29" s="562">
        <f t="shared" ref="O29:O37" si="12">SUM(C29:N29)</f>
        <v>255677325.46000001</v>
      </c>
      <c r="P29" s="483">
        <f>'B2-FinPerf SC'!K30</f>
        <v>255677325.46000001</v>
      </c>
      <c r="Q29" s="141">
        <f>'B2-FinPerf SC'!L30</f>
        <v>259558513.29909989</v>
      </c>
      <c r="R29" s="142">
        <f>'B2-FinPerf SC'!M30</f>
        <v>273703109.80055046</v>
      </c>
      <c r="S29" s="128"/>
    </row>
    <row r="30" spans="1:19" ht="12.75" customHeight="1" x14ac:dyDescent="0.25">
      <c r="A30" s="108" t="str">
        <f t="shared" si="9"/>
        <v>Executive and council</v>
      </c>
      <c r="B30" s="129"/>
      <c r="C30" s="109">
        <v>3006363.5300000003</v>
      </c>
      <c r="D30" s="109">
        <v>3008849.49</v>
      </c>
      <c r="E30" s="109">
        <v>2967586.53</v>
      </c>
      <c r="F30" s="109">
        <v>3077781.73</v>
      </c>
      <c r="G30" s="109">
        <v>2994268.74</v>
      </c>
      <c r="H30" s="388">
        <v>3082131.12</v>
      </c>
      <c r="I30" s="389">
        <v>4423597.439365794</v>
      </c>
      <c r="J30" s="109">
        <v>2965577.6557413242</v>
      </c>
      <c r="K30" s="109">
        <v>3874614.0032585911</v>
      </c>
      <c r="L30" s="109">
        <v>3885675.3953146464</v>
      </c>
      <c r="M30" s="109">
        <v>3414755.4760358292</v>
      </c>
      <c r="N30" s="515">
        <f t="shared" si="11"/>
        <v>7057184.9802838266</v>
      </c>
      <c r="O30" s="547">
        <f t="shared" si="12"/>
        <v>43758386.090000004</v>
      </c>
      <c r="P30" s="240">
        <f>'B2-FinPerf SC'!K31</f>
        <v>43758386.090000004</v>
      </c>
      <c r="Q30" s="75">
        <f>'B2-FinPerf SC'!L31</f>
        <v>46161473.264949992</v>
      </c>
      <c r="R30" s="76">
        <f>'B2-FinPerf SC'!M31</f>
        <v>48676490.234522246</v>
      </c>
      <c r="S30" s="128"/>
    </row>
    <row r="31" spans="1:19" ht="12.75" customHeight="1" x14ac:dyDescent="0.25">
      <c r="A31" s="108" t="str">
        <f t="shared" si="9"/>
        <v>Finance and administration</v>
      </c>
      <c r="B31" s="129"/>
      <c r="C31" s="111">
        <v>13104928.120000003</v>
      </c>
      <c r="D31" s="111">
        <v>15120649.25</v>
      </c>
      <c r="E31" s="111">
        <v>12782964.020000003</v>
      </c>
      <c r="F31" s="111">
        <v>16272589.710000005</v>
      </c>
      <c r="G31" s="111">
        <v>13067924.789999999</v>
      </c>
      <c r="H31" s="563">
        <v>12570161.32</v>
      </c>
      <c r="I31" s="564">
        <v>15396557.918785058</v>
      </c>
      <c r="J31" s="111">
        <v>14005419.181053605</v>
      </c>
      <c r="K31" s="111">
        <v>19092910.54838416</v>
      </c>
      <c r="L31" s="111">
        <v>11700317.353300935</v>
      </c>
      <c r="M31" s="111">
        <v>13228451.01649826</v>
      </c>
      <c r="N31" s="515">
        <f t="shared" si="11"/>
        <v>49888312.141977966</v>
      </c>
      <c r="O31" s="547">
        <f t="shared" si="12"/>
        <v>206231185.37</v>
      </c>
      <c r="P31" s="240">
        <f>'B2-FinPerf SC'!K32</f>
        <v>206231185.37</v>
      </c>
      <c r="Q31" s="75">
        <f>'B2-FinPerf SC'!L32</f>
        <v>207397354.1391499</v>
      </c>
      <c r="R31" s="76">
        <f>'B2-FinPerf SC'!M32</f>
        <v>218695262.52180323</v>
      </c>
      <c r="S31" s="128"/>
    </row>
    <row r="32" spans="1:19" ht="12.75" customHeight="1" x14ac:dyDescent="0.25">
      <c r="A32" s="108" t="str">
        <f t="shared" si="9"/>
        <v>Internal audit</v>
      </c>
      <c r="B32" s="129"/>
      <c r="C32" s="109">
        <v>414715.73</v>
      </c>
      <c r="D32" s="109">
        <v>351565.72</v>
      </c>
      <c r="E32" s="109">
        <v>379370.19000000012</v>
      </c>
      <c r="F32" s="109">
        <v>347928.07</v>
      </c>
      <c r="G32" s="109">
        <v>345954.55</v>
      </c>
      <c r="H32" s="388">
        <v>335542.76</v>
      </c>
      <c r="I32" s="389">
        <v>344806.9270368148</v>
      </c>
      <c r="J32" s="109">
        <v>287141.26657229441</v>
      </c>
      <c r="K32" s="109">
        <v>302125.33853723813</v>
      </c>
      <c r="L32" s="109">
        <v>285858.18283028872</v>
      </c>
      <c r="M32" s="109">
        <v>267756.38221182383</v>
      </c>
      <c r="N32" s="515">
        <f t="shared" si="11"/>
        <v>2024988.8828115398</v>
      </c>
      <c r="O32" s="547">
        <f t="shared" si="12"/>
        <v>5687754</v>
      </c>
      <c r="P32" s="240">
        <f>'B2-FinPerf SC'!K33</f>
        <v>5687754</v>
      </c>
      <c r="Q32" s="75">
        <f>'B2-FinPerf SC'!L33</f>
        <v>5999685.8949999986</v>
      </c>
      <c r="R32" s="76">
        <f>'B2-FinPerf SC'!M33</f>
        <v>6331357.0442249998</v>
      </c>
      <c r="S32" s="128"/>
    </row>
    <row r="33" spans="1:19" ht="12.75" customHeight="1" x14ac:dyDescent="0.25">
      <c r="A33" s="107" t="str">
        <f t="shared" si="9"/>
        <v>Community and public safety</v>
      </c>
      <c r="B33" s="129"/>
      <c r="C33" s="257">
        <f t="shared" ref="C33:M33" si="13">SUM(C34:C38)</f>
        <v>6937744.169999999</v>
      </c>
      <c r="D33" s="257">
        <f t="shared" si="13"/>
        <v>5831614.3599999994</v>
      </c>
      <c r="E33" s="257">
        <f t="shared" si="13"/>
        <v>7030108.5499999998</v>
      </c>
      <c r="F33" s="257">
        <f t="shared" si="13"/>
        <v>5893134.8500000006</v>
      </c>
      <c r="G33" s="257">
        <f t="shared" si="13"/>
        <v>5762058.6299999999</v>
      </c>
      <c r="H33" s="714">
        <f t="shared" si="13"/>
        <v>5902616.5600000005</v>
      </c>
      <c r="I33" s="715">
        <f t="shared" si="13"/>
        <v>7914418.8275389941</v>
      </c>
      <c r="J33" s="257">
        <f t="shared" si="13"/>
        <v>7485416.0082957186</v>
      </c>
      <c r="K33" s="257">
        <f t="shared" si="13"/>
        <v>7558078.3473652713</v>
      </c>
      <c r="L33" s="257">
        <f t="shared" si="13"/>
        <v>8376873.2920321831</v>
      </c>
      <c r="M33" s="257">
        <f t="shared" si="13"/>
        <v>8076706.3957985966</v>
      </c>
      <c r="N33" s="523">
        <f t="shared" si="11"/>
        <v>23652619.008969232</v>
      </c>
      <c r="O33" s="562">
        <f t="shared" si="12"/>
        <v>100421389</v>
      </c>
      <c r="P33" s="483">
        <f>'B2-FinPerf SC'!K34</f>
        <v>100421389</v>
      </c>
      <c r="Q33" s="141">
        <f>'B2-FinPerf SC'!L34</f>
        <v>105271688.43000001</v>
      </c>
      <c r="R33" s="142">
        <f>'B2-FinPerf SC'!M34</f>
        <v>110935597.32865003</v>
      </c>
      <c r="S33" s="128"/>
    </row>
    <row r="34" spans="1:19" ht="12.75" customHeight="1" x14ac:dyDescent="0.25">
      <c r="A34" s="108" t="str">
        <f t="shared" si="9"/>
        <v>Community and social services</v>
      </c>
      <c r="B34" s="129"/>
      <c r="C34" s="109">
        <v>1297206.1800000002</v>
      </c>
      <c r="D34" s="109">
        <v>965577.03999999992</v>
      </c>
      <c r="E34" s="109">
        <v>1097568.8399999999</v>
      </c>
      <c r="F34" s="109">
        <v>933209.3</v>
      </c>
      <c r="G34" s="109">
        <v>925312.52999999991</v>
      </c>
      <c r="H34" s="388">
        <v>927358.54999999993</v>
      </c>
      <c r="I34" s="389">
        <v>896416.49223486346</v>
      </c>
      <c r="J34" s="109">
        <v>907439.9630121279</v>
      </c>
      <c r="K34" s="109">
        <v>950423.68185228028</v>
      </c>
      <c r="L34" s="109">
        <v>900709.9723262199</v>
      </c>
      <c r="M34" s="109">
        <v>855103.37901242275</v>
      </c>
      <c r="N34" s="515">
        <f t="shared" si="11"/>
        <v>1005349.0715620853</v>
      </c>
      <c r="O34" s="547">
        <f t="shared" si="12"/>
        <v>11661675</v>
      </c>
      <c r="P34" s="240">
        <f>'B2-FinPerf SC'!K35</f>
        <v>11661675</v>
      </c>
      <c r="Q34" s="75">
        <f>'B2-FinPerf SC'!L35</f>
        <v>12292289.270000001</v>
      </c>
      <c r="R34" s="76">
        <f>'B2-FinPerf SC'!M35</f>
        <v>12969149.32485</v>
      </c>
      <c r="S34" s="128"/>
    </row>
    <row r="35" spans="1:19" ht="12.75" customHeight="1" x14ac:dyDescent="0.25">
      <c r="A35" s="108" t="str">
        <f t="shared" si="9"/>
        <v>Sport and recreation</v>
      </c>
      <c r="B35" s="129"/>
      <c r="C35" s="109">
        <v>1820534.8099999996</v>
      </c>
      <c r="D35" s="109">
        <v>1943654.21</v>
      </c>
      <c r="E35" s="109">
        <v>2479798.04</v>
      </c>
      <c r="F35" s="109">
        <v>1682872.5200000003</v>
      </c>
      <c r="G35" s="109">
        <v>1749087.7100000002</v>
      </c>
      <c r="H35" s="388">
        <v>1718773.8299999998</v>
      </c>
      <c r="I35" s="389">
        <v>2355483.8219063249</v>
      </c>
      <c r="J35" s="109">
        <v>2130237.8190153283</v>
      </c>
      <c r="K35" s="109">
        <v>2167215.0369216995</v>
      </c>
      <c r="L35" s="109">
        <v>2640281.9953115173</v>
      </c>
      <c r="M35" s="109">
        <v>2405373.835046764</v>
      </c>
      <c r="N35" s="515">
        <f t="shared" si="11"/>
        <v>6732941.0417983681</v>
      </c>
      <c r="O35" s="547">
        <f t="shared" si="12"/>
        <v>29826254.670000002</v>
      </c>
      <c r="P35" s="240">
        <f>'B2-FinPerf SC'!K36</f>
        <v>29826254.670000002</v>
      </c>
      <c r="Q35" s="75">
        <f>'B2-FinPerf SC'!L36</f>
        <v>31386104.911850002</v>
      </c>
      <c r="R35" s="76">
        <f>'B2-FinPerf SC'!M36</f>
        <v>33149803.917001761</v>
      </c>
      <c r="S35" s="128"/>
    </row>
    <row r="36" spans="1:19" ht="12.75" customHeight="1" x14ac:dyDescent="0.25">
      <c r="A36" s="108" t="str">
        <f t="shared" si="9"/>
        <v>Public safety</v>
      </c>
      <c r="B36" s="129"/>
      <c r="C36" s="109">
        <v>1572605.5399999998</v>
      </c>
      <c r="D36" s="109">
        <v>1148424.3799999999</v>
      </c>
      <c r="E36" s="109">
        <v>1333814.0700000003</v>
      </c>
      <c r="F36" s="109">
        <v>1267262.0200000003</v>
      </c>
      <c r="G36" s="109">
        <v>1319873.72</v>
      </c>
      <c r="H36" s="388">
        <v>1381290.96</v>
      </c>
      <c r="I36" s="389">
        <v>2287513.6776135387</v>
      </c>
      <c r="J36" s="109">
        <v>2268185.8903397415</v>
      </c>
      <c r="K36" s="109">
        <v>2199328.7258593822</v>
      </c>
      <c r="L36" s="109">
        <v>2474919.6903518271</v>
      </c>
      <c r="M36" s="109">
        <v>2367762.9291174086</v>
      </c>
      <c r="N36" s="515">
        <f t="shared" si="11"/>
        <v>8404266.3967181034</v>
      </c>
      <c r="O36" s="547">
        <f t="shared" si="12"/>
        <v>28025248</v>
      </c>
      <c r="P36" s="240">
        <f>'B2-FinPerf SC'!K37</f>
        <v>28025248</v>
      </c>
      <c r="Q36" s="75">
        <f>'B2-FinPerf SC'!L37</f>
        <v>29474804.68</v>
      </c>
      <c r="R36" s="76">
        <f>'B2-FinPerf SC'!M37</f>
        <v>30980817.977400001</v>
      </c>
      <c r="S36" s="128"/>
    </row>
    <row r="37" spans="1:19" ht="12.75" customHeight="1" x14ac:dyDescent="0.25">
      <c r="A37" s="108" t="str">
        <f t="shared" si="9"/>
        <v>Housing</v>
      </c>
      <c r="B37" s="129"/>
      <c r="C37" s="109">
        <v>1379523.4300000002</v>
      </c>
      <c r="D37" s="109">
        <v>1112141.6399999999</v>
      </c>
      <c r="E37" s="109">
        <v>1341657.9899999998</v>
      </c>
      <c r="F37" s="109">
        <v>1303710.0900000001</v>
      </c>
      <c r="G37" s="109">
        <v>974465.79</v>
      </c>
      <c r="H37" s="388">
        <v>1145260.7</v>
      </c>
      <c r="I37" s="389">
        <v>1348642.5631704051</v>
      </c>
      <c r="J37" s="109">
        <v>1199866.4078863</v>
      </c>
      <c r="K37" s="109">
        <v>1309414.7680361967</v>
      </c>
      <c r="L37" s="109">
        <v>1331190.6063784149</v>
      </c>
      <c r="M37" s="109">
        <v>1286697.5150762131</v>
      </c>
      <c r="N37" s="515">
        <f t="shared" si="11"/>
        <v>5065154.8294524681</v>
      </c>
      <c r="O37" s="547">
        <f t="shared" si="12"/>
        <v>18797726.329999998</v>
      </c>
      <c r="P37" s="240">
        <f>'B2-FinPerf SC'!K38</f>
        <v>18797726.329999998</v>
      </c>
      <c r="Q37" s="75">
        <f>'B2-FinPerf SC'!L38</f>
        <v>19368824.323150001</v>
      </c>
      <c r="R37" s="76">
        <f>'B2-FinPerf SC'!M38</f>
        <v>20382973.705923256</v>
      </c>
      <c r="S37" s="128"/>
    </row>
    <row r="38" spans="1:19" ht="12.75" customHeight="1" x14ac:dyDescent="0.25">
      <c r="A38" s="108" t="str">
        <f t="shared" si="9"/>
        <v>Health</v>
      </c>
      <c r="B38" s="129"/>
      <c r="C38" s="111">
        <v>867874.21</v>
      </c>
      <c r="D38" s="111">
        <v>661817.09000000008</v>
      </c>
      <c r="E38" s="111">
        <v>777269.61</v>
      </c>
      <c r="F38" s="111">
        <v>706080.91999999993</v>
      </c>
      <c r="G38" s="111">
        <v>793318.88</v>
      </c>
      <c r="H38" s="563">
        <v>729932.52</v>
      </c>
      <c r="I38" s="564">
        <v>1026362.2726138618</v>
      </c>
      <c r="J38" s="111">
        <v>979685.92804222077</v>
      </c>
      <c r="K38" s="111">
        <v>931696.13469571201</v>
      </c>
      <c r="L38" s="111">
        <v>1029771.0276642039</v>
      </c>
      <c r="M38" s="111">
        <v>1161768.737545789</v>
      </c>
      <c r="N38" s="515">
        <f t="shared" si="11"/>
        <v>2444907.6694382131</v>
      </c>
      <c r="O38" s="547"/>
      <c r="P38" s="240">
        <f>'B2-FinPerf SC'!K39</f>
        <v>12110485</v>
      </c>
      <c r="Q38" s="75">
        <f>'B2-FinPerf SC'!L39</f>
        <v>12749665.244999999</v>
      </c>
      <c r="R38" s="76">
        <f>'B2-FinPerf SC'!M39</f>
        <v>13452852.403475003</v>
      </c>
      <c r="S38" s="128"/>
    </row>
    <row r="39" spans="1:19" ht="12.75" customHeight="1" x14ac:dyDescent="0.25">
      <c r="A39" s="107" t="str">
        <f t="shared" si="9"/>
        <v>Economic and environmental services</v>
      </c>
      <c r="B39" s="129"/>
      <c r="C39" s="257">
        <f t="shared" ref="C39:M39" si="14">SUM(C40:C42)</f>
        <v>6522117.6100000003</v>
      </c>
      <c r="D39" s="257">
        <f t="shared" si="14"/>
        <v>14398378.34</v>
      </c>
      <c r="E39" s="257">
        <f t="shared" si="14"/>
        <v>11835486.139999997</v>
      </c>
      <c r="F39" s="257">
        <f t="shared" si="14"/>
        <v>15121014.440000003</v>
      </c>
      <c r="G39" s="257">
        <f t="shared" si="14"/>
        <v>12147531.890000004</v>
      </c>
      <c r="H39" s="714">
        <f t="shared" si="14"/>
        <v>14101257.76</v>
      </c>
      <c r="I39" s="715">
        <f t="shared" si="14"/>
        <v>17107880.287192389</v>
      </c>
      <c r="J39" s="257">
        <f t="shared" si="14"/>
        <v>16608560.819178021</v>
      </c>
      <c r="K39" s="257">
        <f t="shared" si="14"/>
        <v>20358810.841901828</v>
      </c>
      <c r="L39" s="257">
        <f t="shared" si="14"/>
        <v>18347391.401215695</v>
      </c>
      <c r="M39" s="257">
        <f t="shared" si="14"/>
        <v>20373264.849403311</v>
      </c>
      <c r="N39" s="523">
        <f t="shared" si="11"/>
        <v>63142340.131108761</v>
      </c>
      <c r="O39" s="562"/>
      <c r="P39" s="483">
        <f>'B2-FinPerf SC'!K40</f>
        <v>230064034.51000002</v>
      </c>
      <c r="Q39" s="141">
        <f>'B2-FinPerf SC'!L40</f>
        <v>233799077.56304994</v>
      </c>
      <c r="R39" s="142">
        <f>'B2-FinPerf SC'!M40</f>
        <v>242124933.0440177</v>
      </c>
      <c r="S39" s="128"/>
    </row>
    <row r="40" spans="1:19" ht="12.75" customHeight="1" x14ac:dyDescent="0.25">
      <c r="A40" s="108" t="str">
        <f t="shared" si="9"/>
        <v>Planning and development</v>
      </c>
      <c r="B40" s="129"/>
      <c r="C40" s="109">
        <v>1344118.3699999999</v>
      </c>
      <c r="D40" s="109">
        <v>3159004.32</v>
      </c>
      <c r="E40" s="109">
        <v>1620105.71</v>
      </c>
      <c r="F40" s="109">
        <v>2951666.31</v>
      </c>
      <c r="G40" s="109">
        <v>1313061.8900000001</v>
      </c>
      <c r="H40" s="388">
        <v>2302843.7600000002</v>
      </c>
      <c r="I40" s="389">
        <v>1647282.8517928675</v>
      </c>
      <c r="J40" s="109">
        <v>1385564.279721417</v>
      </c>
      <c r="K40" s="109">
        <v>6483307.3621795848</v>
      </c>
      <c r="L40" s="109">
        <v>1909826.5899401712</v>
      </c>
      <c r="M40" s="109">
        <v>1963205.0441144747</v>
      </c>
      <c r="N40" s="515">
        <f t="shared" si="11"/>
        <v>1714070.102251485</v>
      </c>
      <c r="O40" s="547"/>
      <c r="P40" s="240">
        <f>'B2-FinPerf SC'!K41</f>
        <v>27794056.59</v>
      </c>
      <c r="Q40" s="75">
        <f>'B2-FinPerf SC'!L41</f>
        <v>29470781.82244999</v>
      </c>
      <c r="R40" s="76">
        <f>'B2-FinPerf SC'!M41</f>
        <v>31119192.942684736</v>
      </c>
      <c r="S40" s="128"/>
    </row>
    <row r="41" spans="1:19" ht="12.75" customHeight="1" x14ac:dyDescent="0.25">
      <c r="A41" s="108" t="str">
        <f t="shared" si="9"/>
        <v>Road transport</v>
      </c>
      <c r="B41" s="129"/>
      <c r="C41" s="109">
        <v>5177999.24</v>
      </c>
      <c r="D41" s="109">
        <v>11239374.02</v>
      </c>
      <c r="E41" s="109">
        <v>10215380.429999998</v>
      </c>
      <c r="F41" s="109">
        <v>12169348.130000003</v>
      </c>
      <c r="G41" s="109">
        <v>10834470.000000004</v>
      </c>
      <c r="H41" s="388">
        <v>11798414</v>
      </c>
      <c r="I41" s="389">
        <v>15460597.435399521</v>
      </c>
      <c r="J41" s="109">
        <v>15222996.539456604</v>
      </c>
      <c r="K41" s="109">
        <v>13875503.479722243</v>
      </c>
      <c r="L41" s="109">
        <v>16437564.811275523</v>
      </c>
      <c r="M41" s="109">
        <v>18410059.805288836</v>
      </c>
      <c r="N41" s="515">
        <f t="shared" si="11"/>
        <v>61428270.028857291</v>
      </c>
      <c r="O41" s="547"/>
      <c r="P41" s="240">
        <f>'B2-FinPerf SC'!K42</f>
        <v>202269977.92000002</v>
      </c>
      <c r="Q41" s="75">
        <f>'B2-FinPerf SC'!L42</f>
        <v>204328295.74059996</v>
      </c>
      <c r="R41" s="76">
        <f>'B2-FinPerf SC'!M42</f>
        <v>211005740.10133296</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11720342.129999999</v>
      </c>
      <c r="D43" s="257">
        <f t="shared" ref="D43:M43" si="15">SUM(D44:D47)</f>
        <v>51703006.030000016</v>
      </c>
      <c r="E43" s="257">
        <f t="shared" si="15"/>
        <v>12821290.949999999</v>
      </c>
      <c r="F43" s="257">
        <f t="shared" si="15"/>
        <v>28470374.540000003</v>
      </c>
      <c r="G43" s="257">
        <f t="shared" si="15"/>
        <v>39543980.839999996</v>
      </c>
      <c r="H43" s="714">
        <f t="shared" si="15"/>
        <v>83772018.74000001</v>
      </c>
      <c r="I43" s="715">
        <f t="shared" si="15"/>
        <v>33788690.487212874</v>
      </c>
      <c r="J43" s="257">
        <f t="shared" si="15"/>
        <v>48154305.088702574</v>
      </c>
      <c r="K43" s="257">
        <f t="shared" si="15"/>
        <v>38579163.407238051</v>
      </c>
      <c r="L43" s="257">
        <f t="shared" si="15"/>
        <v>47769372.778223909</v>
      </c>
      <c r="M43" s="257">
        <f t="shared" si="15"/>
        <v>48576557.012695067</v>
      </c>
      <c r="N43" s="523">
        <f>P43-SUM(C43:M43)</f>
        <v>153077765.10592747</v>
      </c>
      <c r="O43" s="562">
        <f>SUM(C43:N43)</f>
        <v>597976867.11000001</v>
      </c>
      <c r="P43" s="483">
        <f>'B2-FinPerf SC'!K44</f>
        <v>597976867.11000001</v>
      </c>
      <c r="Q43" s="141">
        <f>'B2-FinPerf SC'!L44</f>
        <v>621504787.33605003</v>
      </c>
      <c r="R43" s="142">
        <f>'B2-FinPerf SC'!M44</f>
        <v>652058810.80453277</v>
      </c>
      <c r="S43" s="128"/>
    </row>
    <row r="44" spans="1:19" ht="12.75" customHeight="1" x14ac:dyDescent="0.25">
      <c r="A44" s="108" t="str">
        <f t="shared" si="9"/>
        <v>Energy sources</v>
      </c>
      <c r="B44" s="129"/>
      <c r="C44" s="109">
        <v>5884881.0899999989</v>
      </c>
      <c r="D44" s="109">
        <v>45557177.800000012</v>
      </c>
      <c r="E44" s="109">
        <v>6696583.4099999992</v>
      </c>
      <c r="F44" s="109">
        <v>22920058.800000001</v>
      </c>
      <c r="G44" s="109">
        <v>34252235.030000001</v>
      </c>
      <c r="H44" s="388">
        <v>78269800.640000001</v>
      </c>
      <c r="I44" s="389">
        <v>26743975.726420578</v>
      </c>
      <c r="J44" s="109">
        <v>42296253.819320284</v>
      </c>
      <c r="K44" s="109">
        <v>33315293.927736197</v>
      </c>
      <c r="L44" s="109">
        <v>40581722.898637421</v>
      </c>
      <c r="M44" s="109">
        <v>39301828.836666889</v>
      </c>
      <c r="N44" s="515">
        <f t="shared" si="11"/>
        <v>134738668.50121862</v>
      </c>
      <c r="O44" s="547">
        <f>SUM(C44:N44)</f>
        <v>510558480.48000002</v>
      </c>
      <c r="P44" s="240">
        <f>'B2-FinPerf SC'!K45</f>
        <v>510558480.48000002</v>
      </c>
      <c r="Q44" s="75">
        <f>'B2-FinPerf SC'!L45</f>
        <v>531191520.11140001</v>
      </c>
      <c r="R44" s="76">
        <f>'B2-FinPerf SC'!M45</f>
        <v>557508799.13252699</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v>332025.23000000004</v>
      </c>
      <c r="D46" s="111">
        <v>399446.14</v>
      </c>
      <c r="E46" s="111">
        <v>390709.0799999999</v>
      </c>
      <c r="F46" s="111">
        <v>389882.69</v>
      </c>
      <c r="G46" s="111">
        <v>344296.3</v>
      </c>
      <c r="H46" s="563">
        <v>362649.18</v>
      </c>
      <c r="I46" s="564">
        <v>525903.18280489219</v>
      </c>
      <c r="J46" s="111">
        <v>413973.68012267613</v>
      </c>
      <c r="K46" s="111">
        <v>484260.15179029154</v>
      </c>
      <c r="L46" s="111">
        <v>654265.39347447536</v>
      </c>
      <c r="M46" s="111">
        <v>484863.14282833156</v>
      </c>
      <c r="N46" s="515">
        <f t="shared" si="11"/>
        <v>1652663.0889793327</v>
      </c>
      <c r="O46" s="547"/>
      <c r="P46" s="240">
        <f>'B2-FinPerf SC'!K47</f>
        <v>6434937.2599999998</v>
      </c>
      <c r="Q46" s="75">
        <f>'B2-FinPerf SC'!L47</f>
        <v>6786273.8642999995</v>
      </c>
      <c r="R46" s="76">
        <f>'B2-FinPerf SC'!M47</f>
        <v>7302671.9818365006</v>
      </c>
      <c r="S46" s="128"/>
    </row>
    <row r="47" spans="1:19" ht="12.75" customHeight="1" x14ac:dyDescent="0.25">
      <c r="A47" s="108" t="str">
        <f t="shared" si="9"/>
        <v>Waste management</v>
      </c>
      <c r="B47" s="129"/>
      <c r="C47" s="109">
        <v>5503435.8100000005</v>
      </c>
      <c r="D47" s="109">
        <v>5746382.0899999999</v>
      </c>
      <c r="E47" s="109">
        <v>5733998.4600000009</v>
      </c>
      <c r="F47" s="109">
        <v>5160433.0500000007</v>
      </c>
      <c r="G47" s="109">
        <v>4947449.5100000007</v>
      </c>
      <c r="H47" s="388">
        <v>5139568.92</v>
      </c>
      <c r="I47" s="389">
        <v>6518811.5779874027</v>
      </c>
      <c r="J47" s="109">
        <v>5444077.5892596142</v>
      </c>
      <c r="K47" s="109">
        <v>4779609.3277115561</v>
      </c>
      <c r="L47" s="109">
        <v>6533384.4861120135</v>
      </c>
      <c r="M47" s="109">
        <v>8789865.0331998449</v>
      </c>
      <c r="N47" s="515">
        <f t="shared" si="11"/>
        <v>16686433.515729561</v>
      </c>
      <c r="O47" s="547"/>
      <c r="P47" s="240">
        <f>'B2-FinPerf SC'!K48</f>
        <v>80983449.370000005</v>
      </c>
      <c r="Q47" s="75">
        <f>'B2-FinPerf SC'!L48</f>
        <v>83526993.360349983</v>
      </c>
      <c r="R47" s="76">
        <f>'B2-FinPerf SC'!M48</f>
        <v>87247339.69016923</v>
      </c>
      <c r="S47" s="128"/>
    </row>
    <row r="48" spans="1:19" ht="12.75" customHeight="1" x14ac:dyDescent="0.25">
      <c r="A48" s="107" t="str">
        <f t="shared" si="9"/>
        <v>Other</v>
      </c>
      <c r="B48" s="129"/>
      <c r="C48" s="109"/>
      <c r="D48" s="109"/>
      <c r="E48" s="821"/>
      <c r="F48" s="821"/>
      <c r="G48" s="821"/>
      <c r="H48" s="886"/>
      <c r="I48" s="887"/>
      <c r="J48" s="821"/>
      <c r="K48" s="821"/>
      <c r="L48" s="821"/>
      <c r="M48" s="821"/>
      <c r="N48" s="523">
        <f t="shared" si="11"/>
        <v>0</v>
      </c>
      <c r="O48" s="562"/>
      <c r="P48" s="483">
        <f>'B2-FinPerf SC'!K49</f>
        <v>0</v>
      </c>
      <c r="Q48" s="141">
        <f>'B2-FinPerf SC'!L49</f>
        <v>0</v>
      </c>
      <c r="R48" s="142">
        <f>'B2-FinPerf SC'!M49</f>
        <v>0</v>
      </c>
      <c r="S48" s="128"/>
    </row>
    <row r="49" spans="1:19" ht="12.75" customHeight="1" x14ac:dyDescent="0.25">
      <c r="A49" s="162" t="s">
        <v>1590</v>
      </c>
      <c r="B49" s="162"/>
      <c r="C49" s="114">
        <f>C29+C33+C39+C43+C48</f>
        <v>41706211.289999999</v>
      </c>
      <c r="D49" s="114">
        <f>D29+D33+D39+D43+D48</f>
        <v>90414063.190000013</v>
      </c>
      <c r="E49" s="691">
        <f>E29+E33+E39+E43+E48</f>
        <v>47816806.379999995</v>
      </c>
      <c r="F49" s="691">
        <f t="shared" ref="F49:R49" si="16">F29+F33+F39+F43+F48</f>
        <v>69182823.340000018</v>
      </c>
      <c r="G49" s="691">
        <f t="shared" si="16"/>
        <v>73861719.439999998</v>
      </c>
      <c r="H49" s="695">
        <f t="shared" si="16"/>
        <v>119763728.26000002</v>
      </c>
      <c r="I49" s="688">
        <f t="shared" si="16"/>
        <v>78975951.887131929</v>
      </c>
      <c r="J49" s="691">
        <f t="shared" si="16"/>
        <v>89506420.019543529</v>
      </c>
      <c r="K49" s="691">
        <f t="shared" si="16"/>
        <v>89765702.486685142</v>
      </c>
      <c r="L49" s="691">
        <f t="shared" si="16"/>
        <v>90365488.402917653</v>
      </c>
      <c r="M49" s="691">
        <f>M29+M33+M39+M43+M48</f>
        <v>93937491.132642895</v>
      </c>
      <c r="N49" s="696">
        <f t="shared" si="16"/>
        <v>298843210.25107884</v>
      </c>
      <c r="O49" s="697">
        <f t="shared" si="16"/>
        <v>954075581.57000005</v>
      </c>
      <c r="P49" s="688">
        <f t="shared" si="16"/>
        <v>1184139616.0799999</v>
      </c>
      <c r="Q49" s="689">
        <f t="shared" si="16"/>
        <v>1220134066.6281998</v>
      </c>
      <c r="R49" s="690">
        <f t="shared" si="16"/>
        <v>1278822450.9777508</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224583884.34</v>
      </c>
      <c r="D51" s="117">
        <f t="shared" si="17"/>
        <v>-18771304.700000018</v>
      </c>
      <c r="E51" s="117">
        <f t="shared" si="17"/>
        <v>19520490.969999999</v>
      </c>
      <c r="F51" s="117">
        <f t="shared" si="17"/>
        <v>1490724.5999999791</v>
      </c>
      <c r="G51" s="117">
        <f t="shared" si="17"/>
        <v>-3310402.549999997</v>
      </c>
      <c r="H51" s="529">
        <f t="shared" si="17"/>
        <v>74128933.919999957</v>
      </c>
      <c r="I51" s="116">
        <f t="shared" si="17"/>
        <v>-16634228.24513483</v>
      </c>
      <c r="J51" s="117">
        <f t="shared" si="17"/>
        <v>-34960083.663276643</v>
      </c>
      <c r="K51" s="117">
        <f t="shared" si="17"/>
        <v>67640573.986186579</v>
      </c>
      <c r="L51" s="117">
        <f t="shared" si="17"/>
        <v>-33322176.879691668</v>
      </c>
      <c r="M51" s="117">
        <f t="shared" si="17"/>
        <v>-38733581.777154356</v>
      </c>
      <c r="N51" s="529">
        <f t="shared" si="17"/>
        <v>-249484873.08092898</v>
      </c>
      <c r="O51" s="550">
        <f t="shared" si="17"/>
        <v>222211991.42999995</v>
      </c>
      <c r="P51" s="116">
        <f t="shared" si="17"/>
        <v>-7852043.0799999237</v>
      </c>
      <c r="Q51" s="117">
        <f t="shared" si="17"/>
        <v>29905772.886800289</v>
      </c>
      <c r="R51" s="118">
        <f t="shared" si="17"/>
        <v>49427149.71057415</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N34" sqref="N34"/>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LIM333 Greater Tzaneen - Supporting Table SB14 Adjustments Budget - monthly revenue and expenditure - 27/02/2019</v>
      </c>
      <c r="B1" s="57"/>
      <c r="D1" s="58"/>
    </row>
    <row r="2" spans="1:18" ht="25.5" x14ac:dyDescent="0.25">
      <c r="A2" s="1398" t="str">
        <f>desc</f>
        <v>Description</v>
      </c>
      <c r="B2" s="1393" t="str">
        <f>head27</f>
        <v>Ref</v>
      </c>
      <c r="C2" s="1390" t="str">
        <f>Head2</f>
        <v>Budget Year 2018/19</v>
      </c>
      <c r="D2" s="1391"/>
      <c r="E2" s="1391"/>
      <c r="F2" s="1391"/>
      <c r="G2" s="1391"/>
      <c r="H2" s="1391"/>
      <c r="I2" s="1391"/>
      <c r="J2" s="1391"/>
      <c r="K2" s="1391"/>
      <c r="L2" s="1391"/>
      <c r="M2" s="1391"/>
      <c r="N2" s="1392"/>
      <c r="O2" s="534"/>
      <c r="P2" s="535" t="s">
        <v>227</v>
      </c>
      <c r="Q2" s="536"/>
      <c r="R2" s="537"/>
    </row>
    <row r="3" spans="1:18"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66" t="s">
        <v>605</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5">
      <c r="A5" s="567" t="s">
        <v>640</v>
      </c>
      <c r="B5" s="129"/>
      <c r="C5" s="240"/>
      <c r="D5" s="75"/>
      <c r="E5" s="75"/>
      <c r="F5" s="75"/>
      <c r="G5" s="75"/>
      <c r="H5" s="515"/>
      <c r="I5" s="240"/>
      <c r="J5" s="75"/>
      <c r="K5" s="75"/>
      <c r="L5" s="75"/>
      <c r="M5" s="75"/>
      <c r="N5" s="515"/>
      <c r="O5" s="547"/>
      <c r="P5" s="240"/>
      <c r="Q5" s="75"/>
      <c r="R5" s="76"/>
    </row>
    <row r="6" spans="1:18" ht="12.75" customHeight="1" x14ac:dyDescent="0.25">
      <c r="A6" s="85" t="s">
        <v>558</v>
      </c>
      <c r="B6" s="129"/>
      <c r="C6" s="389">
        <v>9903805.8599999994</v>
      </c>
      <c r="D6" s="109">
        <v>9880766.0600000005</v>
      </c>
      <c r="E6" s="109">
        <v>9753606.6699999999</v>
      </c>
      <c r="F6" s="109">
        <v>9848265.0600000005</v>
      </c>
      <c r="G6" s="109">
        <v>9933035.4499999993</v>
      </c>
      <c r="H6" s="388">
        <v>9992114.8599999994</v>
      </c>
      <c r="I6" s="389">
        <v>8253250.3239213601</v>
      </c>
      <c r="J6" s="109">
        <v>7832126.3252266599</v>
      </c>
      <c r="K6" s="109">
        <v>7924448.9120115004</v>
      </c>
      <c r="L6" s="109">
        <v>10242992.531804699</v>
      </c>
      <c r="M6" s="109">
        <v>8090633.7404261902</v>
      </c>
      <c r="N6" s="515">
        <f t="shared" ref="N6:N21" si="2">P6-SUM(C6:M6)</f>
        <v>-7855045.7933904231</v>
      </c>
      <c r="O6" s="547">
        <f t="shared" ref="O6:O21" si="3">SUM(C6:N6)</f>
        <v>93800000</v>
      </c>
      <c r="P6" s="240">
        <f>'B4-FinPerf RE'!K7</f>
        <v>93800000</v>
      </c>
      <c r="Q6" s="75">
        <f>'B4-FinPerf RE'!L7</f>
        <v>98959000</v>
      </c>
      <c r="R6" s="76">
        <f>'B4-FinPerf RE'!M7</f>
        <v>104401745</v>
      </c>
    </row>
    <row r="7" spans="1:18" ht="12.75" customHeight="1" x14ac:dyDescent="0.25">
      <c r="A7" s="85" t="s">
        <v>641</v>
      </c>
      <c r="B7" s="129"/>
      <c r="C7" s="389">
        <v>46836816.340000004</v>
      </c>
      <c r="D7" s="109">
        <v>50003858.170000002</v>
      </c>
      <c r="E7" s="109">
        <v>46837071.240000002</v>
      </c>
      <c r="F7" s="109">
        <v>39311646.200000003</v>
      </c>
      <c r="G7" s="109">
        <v>46892388.170000002</v>
      </c>
      <c r="H7" s="388">
        <v>39279986.350000001</v>
      </c>
      <c r="I7" s="389">
        <v>38093938.187088497</v>
      </c>
      <c r="J7" s="109">
        <v>33160643.897537202</v>
      </c>
      <c r="K7" s="109">
        <v>34874505.332612</v>
      </c>
      <c r="L7" s="109">
        <v>39022399.106763899</v>
      </c>
      <c r="M7" s="109">
        <v>38129467.260380603</v>
      </c>
      <c r="N7" s="515">
        <f t="shared" si="2"/>
        <v>48908279.745617747</v>
      </c>
      <c r="O7" s="547">
        <f t="shared" si="3"/>
        <v>501351000</v>
      </c>
      <c r="P7" s="240">
        <f>'B4-FinPerf RE'!K8</f>
        <v>501351000</v>
      </c>
      <c r="Q7" s="75">
        <f>'B4-FinPerf RE'!L8</f>
        <v>528925305</v>
      </c>
      <c r="R7" s="76">
        <f>'B4-FinPerf RE'!M8</f>
        <v>558016196.77499998</v>
      </c>
    </row>
    <row r="8" spans="1:18" ht="12.75" customHeight="1" x14ac:dyDescent="0.25">
      <c r="A8" s="85" t="s">
        <v>642</v>
      </c>
      <c r="B8" s="129"/>
      <c r="C8" s="389"/>
      <c r="D8" s="109"/>
      <c r="E8" s="109"/>
      <c r="F8" s="109"/>
      <c r="G8" s="109"/>
      <c r="H8" s="388"/>
      <c r="I8" s="389"/>
      <c r="J8" s="109"/>
      <c r="K8" s="109"/>
      <c r="L8" s="109"/>
      <c r="M8" s="109"/>
      <c r="N8" s="515">
        <f t="shared" si="2"/>
        <v>0</v>
      </c>
      <c r="O8" s="547">
        <f t="shared" si="3"/>
        <v>0</v>
      </c>
      <c r="P8" s="240">
        <f>'B4-FinPerf RE'!K9</f>
        <v>0</v>
      </c>
      <c r="Q8" s="75">
        <f>'B4-FinPerf RE'!L9</f>
        <v>0</v>
      </c>
      <c r="R8" s="76">
        <f>'B4-FinPerf RE'!M9</f>
        <v>0</v>
      </c>
    </row>
    <row r="9" spans="1:18" ht="12.75" customHeight="1" x14ac:dyDescent="0.25">
      <c r="A9" s="85" t="s">
        <v>643</v>
      </c>
      <c r="B9" s="129"/>
      <c r="C9" s="389"/>
      <c r="D9" s="109"/>
      <c r="E9" s="109"/>
      <c r="F9" s="109"/>
      <c r="G9" s="109"/>
      <c r="H9" s="388"/>
      <c r="I9" s="389"/>
      <c r="J9" s="109"/>
      <c r="K9" s="109"/>
      <c r="L9" s="109"/>
      <c r="M9" s="109"/>
      <c r="N9" s="515">
        <f t="shared" si="2"/>
        <v>0</v>
      </c>
      <c r="O9" s="547">
        <f t="shared" si="3"/>
        <v>0</v>
      </c>
      <c r="P9" s="240">
        <f>'B4-FinPerf RE'!K10</f>
        <v>0</v>
      </c>
      <c r="Q9" s="75">
        <f>'B4-FinPerf RE'!L10</f>
        <v>0</v>
      </c>
      <c r="R9" s="76">
        <f>'B4-FinPerf RE'!M10</f>
        <v>0</v>
      </c>
    </row>
    <row r="10" spans="1:18" ht="12.75" customHeight="1" x14ac:dyDescent="0.25">
      <c r="A10" s="85" t="s">
        <v>246</v>
      </c>
      <c r="B10" s="129"/>
      <c r="C10" s="389">
        <v>2911692.87</v>
      </c>
      <c r="D10" s="109">
        <v>2932468.22</v>
      </c>
      <c r="E10" s="109">
        <v>2769729.15</v>
      </c>
      <c r="F10" s="109">
        <v>2677218.13</v>
      </c>
      <c r="G10" s="109">
        <v>2867454.54</v>
      </c>
      <c r="H10" s="388">
        <v>2679539.7400000002</v>
      </c>
      <c r="I10" s="389">
        <v>2388747.3750776602</v>
      </c>
      <c r="J10" s="109">
        <v>2817766.3877000799</v>
      </c>
      <c r="K10" s="109">
        <v>2534185.9948177198</v>
      </c>
      <c r="L10" s="109">
        <v>2688194.3656618898</v>
      </c>
      <c r="M10" s="109">
        <v>2566429.5630094502</v>
      </c>
      <c r="N10" s="515">
        <f t="shared" si="2"/>
        <v>598573.66373319924</v>
      </c>
      <c r="O10" s="547">
        <f t="shared" si="3"/>
        <v>30432000</v>
      </c>
      <c r="P10" s="240">
        <f>'B4-FinPerf RE'!K11</f>
        <v>30432000</v>
      </c>
      <c r="Q10" s="75">
        <f>'B4-FinPerf RE'!L11</f>
        <v>32105760</v>
      </c>
      <c r="R10" s="76">
        <f>'B4-FinPerf RE'!M11</f>
        <v>33871576.799999997</v>
      </c>
    </row>
    <row r="11" spans="1:18" ht="1.1499999999999999" customHeight="1" x14ac:dyDescent="0.25">
      <c r="A11" s="85"/>
      <c r="B11" s="129"/>
      <c r="C11" s="1135"/>
      <c r="D11" s="132"/>
      <c r="E11" s="132"/>
      <c r="F11" s="132"/>
      <c r="G11" s="132"/>
      <c r="H11" s="1339"/>
      <c r="I11" s="1135"/>
      <c r="J11" s="132"/>
      <c r="K11" s="132"/>
      <c r="L11" s="132"/>
      <c r="M11" s="132"/>
      <c r="N11" s="1339"/>
      <c r="O11" s="1340"/>
      <c r="P11" s="1135"/>
      <c r="Q11" s="132"/>
      <c r="R11" s="133"/>
    </row>
    <row r="12" spans="1:18" ht="12.75" customHeight="1" x14ac:dyDescent="0.25">
      <c r="A12" s="85" t="s">
        <v>644</v>
      </c>
      <c r="B12" s="129"/>
      <c r="C12" s="389">
        <v>154781.24</v>
      </c>
      <c r="D12" s="109">
        <v>165488.81</v>
      </c>
      <c r="E12" s="109">
        <v>150914.48000000001</v>
      </c>
      <c r="F12" s="109">
        <v>406254.92</v>
      </c>
      <c r="G12" s="109">
        <v>149276.28</v>
      </c>
      <c r="H12" s="388">
        <v>194717.82</v>
      </c>
      <c r="I12" s="389">
        <v>134760.27397666199</v>
      </c>
      <c r="J12" s="109">
        <v>153526.44335074301</v>
      </c>
      <c r="K12" s="109">
        <v>164346.997541349</v>
      </c>
      <c r="L12" s="109">
        <v>161794.34340454001</v>
      </c>
      <c r="M12" s="109">
        <v>166679.721373106</v>
      </c>
      <c r="N12" s="515">
        <f t="shared" si="2"/>
        <v>-230441.32964640018</v>
      </c>
      <c r="O12" s="547">
        <f t="shared" si="3"/>
        <v>1772100</v>
      </c>
      <c r="P12" s="240">
        <f>'B4-FinPerf RE'!K13</f>
        <v>1772100</v>
      </c>
      <c r="Q12" s="75">
        <f>'B4-FinPerf RE'!L13</f>
        <v>1869565.5</v>
      </c>
      <c r="R12" s="76">
        <f>'B4-FinPerf RE'!M13</f>
        <v>1972391.6025</v>
      </c>
    </row>
    <row r="13" spans="1:18" ht="12.75" customHeight="1" x14ac:dyDescent="0.25">
      <c r="A13" s="85" t="s">
        <v>645</v>
      </c>
      <c r="B13" s="129"/>
      <c r="C13" s="389">
        <v>35249.21</v>
      </c>
      <c r="D13" s="109">
        <v>505925.84</v>
      </c>
      <c r="E13" s="109">
        <v>468808.3</v>
      </c>
      <c r="F13" s="109">
        <v>571349.52</v>
      </c>
      <c r="G13" s="109">
        <v>473756.13</v>
      </c>
      <c r="H13" s="388">
        <v>576321.06999999995</v>
      </c>
      <c r="I13" s="389">
        <v>217567.285409843</v>
      </c>
      <c r="J13" s="109">
        <v>259328.546388079</v>
      </c>
      <c r="K13" s="109">
        <v>364106.77289517602</v>
      </c>
      <c r="L13" s="109">
        <v>70616.257353746405</v>
      </c>
      <c r="M13" s="109">
        <v>525276.69132095401</v>
      </c>
      <c r="N13" s="515">
        <f t="shared" si="2"/>
        <v>-267305.62336779805</v>
      </c>
      <c r="O13" s="547">
        <f t="shared" si="3"/>
        <v>3801000</v>
      </c>
      <c r="P13" s="240">
        <f>'B4-FinPerf RE'!K14</f>
        <v>3801000</v>
      </c>
      <c r="Q13" s="75">
        <f>'B4-FinPerf RE'!L14</f>
        <v>4010055</v>
      </c>
      <c r="R13" s="76">
        <f>'B4-FinPerf RE'!M14</f>
        <v>4230608.0250000004</v>
      </c>
    </row>
    <row r="14" spans="1:18" ht="12.75" customHeight="1" x14ac:dyDescent="0.25">
      <c r="A14" s="85" t="s">
        <v>646</v>
      </c>
      <c r="B14" s="129"/>
      <c r="C14" s="389">
        <v>1710695.07</v>
      </c>
      <c r="D14" s="109">
        <v>2154476.4</v>
      </c>
      <c r="E14" s="109">
        <v>1644615.79</v>
      </c>
      <c r="F14" s="109">
        <v>1861432.82</v>
      </c>
      <c r="G14" s="109">
        <v>1981059.22</v>
      </c>
      <c r="H14" s="388">
        <v>2226620.79</v>
      </c>
      <c r="I14" s="389">
        <v>1495248.4936869801</v>
      </c>
      <c r="J14" s="109">
        <v>1425270.61092703</v>
      </c>
      <c r="K14" s="109">
        <v>1506524.6280181599</v>
      </c>
      <c r="L14" s="109">
        <v>1562352.39320892</v>
      </c>
      <c r="M14" s="109">
        <v>1251344.26884889</v>
      </c>
      <c r="N14" s="515">
        <f t="shared" si="2"/>
        <v>-1819640.484689977</v>
      </c>
      <c r="O14" s="547">
        <f t="shared" si="3"/>
        <v>17000000</v>
      </c>
      <c r="P14" s="240">
        <f>'B4-FinPerf RE'!K15</f>
        <v>17000000</v>
      </c>
      <c r="Q14" s="75">
        <f>'B4-FinPerf RE'!L15</f>
        <v>17935000</v>
      </c>
      <c r="R14" s="76">
        <f>'B4-FinPerf RE'!M15</f>
        <v>18921425</v>
      </c>
    </row>
    <row r="15" spans="1:18" ht="12.75" customHeight="1" x14ac:dyDescent="0.25">
      <c r="A15" s="85" t="s">
        <v>647</v>
      </c>
      <c r="B15" s="129"/>
      <c r="C15" s="389"/>
      <c r="D15" s="109"/>
      <c r="E15" s="109"/>
      <c r="F15" s="109"/>
      <c r="G15" s="109"/>
      <c r="H15" s="388"/>
      <c r="I15" s="389"/>
      <c r="J15" s="109"/>
      <c r="K15" s="109"/>
      <c r="L15" s="109"/>
      <c r="M15" s="109"/>
      <c r="N15" s="515">
        <f t="shared" si="2"/>
        <v>0</v>
      </c>
      <c r="O15" s="547">
        <f t="shared" si="3"/>
        <v>0</v>
      </c>
      <c r="P15" s="240">
        <f>'B4-FinPerf RE'!K16</f>
        <v>0</v>
      </c>
      <c r="Q15" s="75">
        <f>'B4-FinPerf RE'!L16</f>
        <v>0</v>
      </c>
      <c r="R15" s="76">
        <f>'B4-FinPerf RE'!M16</f>
        <v>0</v>
      </c>
    </row>
    <row r="16" spans="1:18" ht="12.75" customHeight="1" x14ac:dyDescent="0.25">
      <c r="A16" s="129" t="s">
        <v>1499</v>
      </c>
      <c r="B16" s="129"/>
      <c r="C16" s="389">
        <v>43609.95</v>
      </c>
      <c r="D16" s="109">
        <v>287861.65000000002</v>
      </c>
      <c r="E16" s="109">
        <v>63824.98</v>
      </c>
      <c r="F16" s="109">
        <v>551230.30000000005</v>
      </c>
      <c r="G16" s="109">
        <v>47454.27</v>
      </c>
      <c r="H16" s="388">
        <v>448336.35</v>
      </c>
      <c r="I16" s="389">
        <v>286535.26573139598</v>
      </c>
      <c r="J16" s="109">
        <v>202331.95824236199</v>
      </c>
      <c r="K16" s="109">
        <v>526324.56101491104</v>
      </c>
      <c r="L16" s="109">
        <v>318409.02480654902</v>
      </c>
      <c r="M16" s="109">
        <v>271566.11286775803</v>
      </c>
      <c r="N16" s="515">
        <f t="shared" si="2"/>
        <v>1453651.5773370243</v>
      </c>
      <c r="O16" s="547">
        <f t="shared" si="3"/>
        <v>4501136</v>
      </c>
      <c r="P16" s="240">
        <f>'B4-FinPerf RE'!K17</f>
        <v>4501136</v>
      </c>
      <c r="Q16" s="75">
        <f>'B4-FinPerf RE'!L17</f>
        <v>4748698.4800000004</v>
      </c>
      <c r="R16" s="76">
        <f>'B4-FinPerf RE'!M17</f>
        <v>5009876.8964</v>
      </c>
    </row>
    <row r="17" spans="1:18" ht="12.75" customHeight="1" x14ac:dyDescent="0.25">
      <c r="A17" s="85" t="s">
        <v>648</v>
      </c>
      <c r="B17" s="129"/>
      <c r="C17" s="389">
        <v>91348.74</v>
      </c>
      <c r="D17" s="109">
        <v>61575.49</v>
      </c>
      <c r="E17" s="109">
        <v>91558.63</v>
      </c>
      <c r="F17" s="109">
        <v>134780.48000000001</v>
      </c>
      <c r="G17" s="109">
        <v>136286.38</v>
      </c>
      <c r="H17" s="388">
        <v>33544.5</v>
      </c>
      <c r="I17" s="389">
        <v>42878.893627745201</v>
      </c>
      <c r="J17" s="109">
        <v>43520.651332221198</v>
      </c>
      <c r="K17" s="109">
        <v>83064.336309589198</v>
      </c>
      <c r="L17" s="109">
        <v>119231.537982744</v>
      </c>
      <c r="M17" s="109">
        <v>63236.658382948699</v>
      </c>
      <c r="N17" s="515">
        <f t="shared" si="2"/>
        <v>-130026.2976352484</v>
      </c>
      <c r="O17" s="547">
        <f t="shared" si="3"/>
        <v>771000</v>
      </c>
      <c r="P17" s="240">
        <f>'B4-FinPerf RE'!K18</f>
        <v>771000</v>
      </c>
      <c r="Q17" s="75">
        <f>'B4-FinPerf RE'!L18</f>
        <v>813405</v>
      </c>
      <c r="R17" s="76">
        <f>'B4-FinPerf RE'!M18</f>
        <v>858142.27500000002</v>
      </c>
    </row>
    <row r="18" spans="1:18" ht="12.75" customHeight="1" x14ac:dyDescent="0.25">
      <c r="A18" s="85" t="s">
        <v>649</v>
      </c>
      <c r="B18" s="129"/>
      <c r="C18" s="389">
        <v>4771561.75</v>
      </c>
      <c r="D18" s="109">
        <v>5272235.53</v>
      </c>
      <c r="E18" s="109">
        <v>5223229.32</v>
      </c>
      <c r="F18" s="109">
        <v>4936438.0199999996</v>
      </c>
      <c r="G18" s="109">
        <v>4477734.68</v>
      </c>
      <c r="H18" s="388">
        <v>3611574.71</v>
      </c>
      <c r="I18" s="389">
        <v>6966435.9701763904</v>
      </c>
      <c r="J18" s="109">
        <v>6035752.7395339301</v>
      </c>
      <c r="K18" s="109">
        <v>5172015.8368345601</v>
      </c>
      <c r="L18" s="109">
        <v>2766206.1481651901</v>
      </c>
      <c r="M18" s="109">
        <v>3638261.1750012198</v>
      </c>
      <c r="N18" s="515">
        <f t="shared" si="2"/>
        <v>-1707154.8797112852</v>
      </c>
      <c r="O18" s="547">
        <f t="shared" si="3"/>
        <v>51164291</v>
      </c>
      <c r="P18" s="240">
        <f>'B4-FinPerf RE'!K19</f>
        <v>51164291</v>
      </c>
      <c r="Q18" s="75">
        <f>'B4-FinPerf RE'!L19</f>
        <v>53978327.005000003</v>
      </c>
      <c r="R18" s="76">
        <f>'B4-FinPerf RE'!M19</f>
        <v>56947134.990275003</v>
      </c>
    </row>
    <row r="19" spans="1:18" ht="12.75" customHeight="1" x14ac:dyDescent="0.25">
      <c r="A19" s="30" t="s">
        <v>1498</v>
      </c>
      <c r="B19" s="129"/>
      <c r="C19" s="389">
        <v>143977000</v>
      </c>
      <c r="D19" s="109">
        <v>0</v>
      </c>
      <c r="E19" s="109">
        <v>0</v>
      </c>
      <c r="F19" s="109">
        <v>10000000</v>
      </c>
      <c r="G19" s="109">
        <v>2529312.84</v>
      </c>
      <c r="H19" s="388">
        <v>111434000</v>
      </c>
      <c r="I19" s="389">
        <v>2145000</v>
      </c>
      <c r="J19" s="109">
        <v>1653000</v>
      </c>
      <c r="K19" s="109">
        <f>90307000+4615750</f>
        <v>94922750</v>
      </c>
      <c r="L19" s="109">
        <v>0</v>
      </c>
      <c r="M19" s="109">
        <v>0</v>
      </c>
      <c r="N19" s="515">
        <f t="shared" si="2"/>
        <v>-50312.840000033379</v>
      </c>
      <c r="O19" s="547">
        <f t="shared" si="3"/>
        <v>366610750</v>
      </c>
      <c r="P19" s="240">
        <f>'B4-FinPerf RE'!K20</f>
        <v>366610750</v>
      </c>
      <c r="Q19" s="75">
        <f>'B4-FinPerf RE'!L20</f>
        <v>398276150</v>
      </c>
      <c r="R19" s="76">
        <f>'B4-FinPerf RE'!M20</f>
        <v>429446520</v>
      </c>
    </row>
    <row r="20" spans="1:18" ht="12.75" customHeight="1" x14ac:dyDescent="0.25">
      <c r="A20" s="85" t="s">
        <v>650</v>
      </c>
      <c r="B20" s="129"/>
      <c r="C20" s="389">
        <v>464534.6</v>
      </c>
      <c r="D20" s="109">
        <v>378102.32</v>
      </c>
      <c r="E20" s="109">
        <v>333938.78999999998</v>
      </c>
      <c r="F20" s="109">
        <v>374932.49</v>
      </c>
      <c r="G20" s="109">
        <v>1063558.93</v>
      </c>
      <c r="H20" s="388">
        <v>337905.99</v>
      </c>
      <c r="I20" s="389">
        <v>2317361.57330058</v>
      </c>
      <c r="J20" s="109">
        <v>963068.79602860101</v>
      </c>
      <c r="K20" s="109">
        <v>101753.100816768</v>
      </c>
      <c r="L20" s="109">
        <v>91115.814073830697</v>
      </c>
      <c r="M20" s="109">
        <v>501014.163877466</v>
      </c>
      <c r="N20" s="515">
        <f t="shared" si="2"/>
        <v>10457759.431902755</v>
      </c>
      <c r="O20" s="547">
        <f t="shared" si="3"/>
        <v>17385046</v>
      </c>
      <c r="P20" s="240">
        <f>'B4-FinPerf RE'!K21</f>
        <v>17385046</v>
      </c>
      <c r="Q20" s="75">
        <f>'B4-FinPerf RE'!L21</f>
        <v>18868723.530000001</v>
      </c>
      <c r="R20" s="76">
        <f>'B4-FinPerf RE'!M21</f>
        <v>19906503.82415</v>
      </c>
    </row>
    <row r="21" spans="1:18" ht="12.75" customHeight="1" x14ac:dyDescent="0.25">
      <c r="A21" s="85" t="s">
        <v>651</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210901095.63</v>
      </c>
      <c r="D22" s="81">
        <f t="shared" ref="D22:R22" si="4">SUM(D6:D10)+SUM(D12:D21)</f>
        <v>71642758.49000001</v>
      </c>
      <c r="E22" s="81">
        <f t="shared" si="4"/>
        <v>67337297.350000009</v>
      </c>
      <c r="F22" s="81">
        <f t="shared" si="4"/>
        <v>70673547.939999998</v>
      </c>
      <c r="G22" s="81">
        <f t="shared" si="4"/>
        <v>70551316.890000001</v>
      </c>
      <c r="H22" s="526">
        <f t="shared" si="4"/>
        <v>170814662.18000001</v>
      </c>
      <c r="I22" s="492">
        <f t="shared" si="4"/>
        <v>62341723.641997114</v>
      </c>
      <c r="J22" s="81">
        <f t="shared" si="4"/>
        <v>54546336.356266908</v>
      </c>
      <c r="K22" s="81">
        <f t="shared" si="4"/>
        <v>148174026.47287172</v>
      </c>
      <c r="L22" s="81">
        <f t="shared" si="4"/>
        <v>57043311.523226008</v>
      </c>
      <c r="M22" s="81">
        <f t="shared" si="4"/>
        <v>55203909.355488583</v>
      </c>
      <c r="N22" s="526">
        <f t="shared" si="4"/>
        <v>49358337.170149565</v>
      </c>
      <c r="O22" s="568">
        <f t="shared" si="4"/>
        <v>1088588323</v>
      </c>
      <c r="P22" s="492">
        <f t="shared" si="4"/>
        <v>1088588323</v>
      </c>
      <c r="Q22" s="81">
        <f t="shared" si="4"/>
        <v>1160489989.5149999</v>
      </c>
      <c r="R22" s="82">
        <f t="shared" si="4"/>
        <v>1233582121.1883249</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652</v>
      </c>
      <c r="B24" s="129"/>
      <c r="C24" s="240"/>
      <c r="D24" s="75"/>
      <c r="E24" s="75"/>
      <c r="F24" s="75"/>
      <c r="G24" s="75"/>
      <c r="H24" s="515"/>
      <c r="I24" s="240"/>
      <c r="J24" s="75"/>
      <c r="K24" s="75"/>
      <c r="L24" s="75"/>
      <c r="M24" s="75"/>
      <c r="N24" s="515"/>
      <c r="O24" s="547"/>
      <c r="P24" s="240"/>
      <c r="Q24" s="75"/>
      <c r="R24" s="76"/>
    </row>
    <row r="25" spans="1:18" ht="12.75" customHeight="1" x14ac:dyDescent="0.25">
      <c r="A25" s="85" t="s">
        <v>653</v>
      </c>
      <c r="B25" s="129"/>
      <c r="C25" s="389">
        <v>24520034.320000008</v>
      </c>
      <c r="D25" s="109">
        <v>23528507.079999991</v>
      </c>
      <c r="E25" s="109">
        <v>27347767.470000006</v>
      </c>
      <c r="F25" s="109">
        <v>24999323.47000001</v>
      </c>
      <c r="G25" s="109">
        <v>24340592.780000001</v>
      </c>
      <c r="H25" s="388">
        <v>24273139.549999997</v>
      </c>
      <c r="I25" s="389">
        <v>28771548.562894896</v>
      </c>
      <c r="J25" s="109">
        <v>28081648.825785529</v>
      </c>
      <c r="K25" s="109">
        <v>27426524.115042761</v>
      </c>
      <c r="L25" s="109">
        <v>28419790.98238169</v>
      </c>
      <c r="M25" s="109">
        <v>27739550.972162873</v>
      </c>
      <c r="N25" s="515">
        <f t="shared" ref="N25:N35" si="5">P25-SUM(C25:M25)</f>
        <v>47509662.871732235</v>
      </c>
      <c r="O25" s="547">
        <f t="shared" ref="O25:O35" si="6">SUM(C25:N25)</f>
        <v>336958091</v>
      </c>
      <c r="P25" s="240">
        <f>'B4-FinPerf RE'!K26</f>
        <v>336958091</v>
      </c>
      <c r="Q25" s="75">
        <f>'B4-FinPerf RE'!L26</f>
        <v>355490785.67500007</v>
      </c>
      <c r="R25" s="76">
        <f>'B4-FinPerf RE'!M26</f>
        <v>375042780.03212506</v>
      </c>
    </row>
    <row r="26" spans="1:18" ht="12.75" customHeight="1" x14ac:dyDescent="0.25">
      <c r="A26" s="85" t="s">
        <v>564</v>
      </c>
      <c r="B26" s="129"/>
      <c r="C26" s="389">
        <v>2111379.42</v>
      </c>
      <c r="D26" s="109">
        <v>2110517.75</v>
      </c>
      <c r="E26" s="109">
        <v>2109693.7599999998</v>
      </c>
      <c r="F26" s="109">
        <v>2108917.29</v>
      </c>
      <c r="G26" s="109">
        <v>2109259.9900000002</v>
      </c>
      <c r="H26" s="388">
        <v>2112675.11</v>
      </c>
      <c r="I26" s="389">
        <v>2388171.6132462183</v>
      </c>
      <c r="J26" s="109">
        <v>2289614.32740549</v>
      </c>
      <c r="K26" s="109">
        <v>2310115.2364823218</v>
      </c>
      <c r="L26" s="109">
        <v>2306653.9665819411</v>
      </c>
      <c r="M26" s="109">
        <v>2306653.9665819411</v>
      </c>
      <c r="N26" s="515">
        <f t="shared" si="5"/>
        <v>3126080.5697020888</v>
      </c>
      <c r="O26" s="547">
        <f t="shared" si="6"/>
        <v>27389733</v>
      </c>
      <c r="P26" s="240">
        <f>'B4-FinPerf RE'!K27</f>
        <v>27389733</v>
      </c>
      <c r="Q26" s="75">
        <f>'B4-FinPerf RE'!L27</f>
        <v>28896168.359999999</v>
      </c>
      <c r="R26" s="76">
        <f>'B4-FinPerf RE'!M27</f>
        <v>30485457.8048</v>
      </c>
    </row>
    <row r="27" spans="1:18" ht="12.75" customHeight="1" x14ac:dyDescent="0.25">
      <c r="A27" s="85" t="s">
        <v>654</v>
      </c>
      <c r="B27" s="129"/>
      <c r="C27" s="389"/>
      <c r="D27" s="109"/>
      <c r="E27" s="109"/>
      <c r="F27" s="109"/>
      <c r="G27" s="109"/>
      <c r="H27" s="388"/>
      <c r="I27" s="389"/>
      <c r="J27" s="109"/>
      <c r="K27" s="109"/>
      <c r="L27" s="109"/>
      <c r="M27" s="109"/>
      <c r="N27" s="515">
        <f t="shared" si="5"/>
        <v>29400000</v>
      </c>
      <c r="O27" s="547">
        <f t="shared" si="6"/>
        <v>29400000</v>
      </c>
      <c r="P27" s="240">
        <f>'B4-FinPerf RE'!K28</f>
        <v>29400000</v>
      </c>
      <c r="Q27" s="75">
        <f>'B4-FinPerf RE'!L28</f>
        <v>31017000</v>
      </c>
      <c r="R27" s="76">
        <f>'B4-FinPerf RE'!M28</f>
        <v>32722935</v>
      </c>
    </row>
    <row r="28" spans="1:18" ht="12.75" customHeight="1" x14ac:dyDescent="0.25">
      <c r="A28" s="85" t="s">
        <v>565</v>
      </c>
      <c r="B28" s="129"/>
      <c r="C28" s="389"/>
      <c r="D28" s="109"/>
      <c r="E28" s="109"/>
      <c r="F28" s="109"/>
      <c r="G28" s="109"/>
      <c r="H28" s="388"/>
      <c r="I28" s="389">
        <v>11122853.832660744</v>
      </c>
      <c r="J28" s="109">
        <v>11122853.832660744</v>
      </c>
      <c r="K28" s="109">
        <v>11122853.832660744</v>
      </c>
      <c r="L28" s="109">
        <v>11122853.832660744</v>
      </c>
      <c r="M28" s="109">
        <v>11122853.832660744</v>
      </c>
      <c r="N28" s="515">
        <f t="shared" si="5"/>
        <v>77861226.676696286</v>
      </c>
      <c r="O28" s="547">
        <f t="shared" si="6"/>
        <v>133475495.84</v>
      </c>
      <c r="P28" s="240">
        <f>'B4-FinPerf RE'!K29</f>
        <v>133475495.84</v>
      </c>
      <c r="Q28" s="75">
        <f>'B4-FinPerf RE'!L29</f>
        <v>135403832</v>
      </c>
      <c r="R28" s="76">
        <f>'B4-FinPerf RE'!M29</f>
        <v>138917142</v>
      </c>
    </row>
    <row r="29" spans="1:18" ht="12.75" customHeight="1" x14ac:dyDescent="0.25">
      <c r="A29" s="85" t="s">
        <v>566</v>
      </c>
      <c r="B29" s="129"/>
      <c r="C29" s="389">
        <v>183810.31999999998</v>
      </c>
      <c r="D29" s="109">
        <v>182913</v>
      </c>
      <c r="E29" s="109">
        <v>552089.25</v>
      </c>
      <c r="F29" s="109">
        <v>2009770.98</v>
      </c>
      <c r="G29" s="109">
        <v>0</v>
      </c>
      <c r="H29" s="388">
        <v>1752337.44</v>
      </c>
      <c r="I29" s="389">
        <v>504838.19197845447</v>
      </c>
      <c r="J29" s="109">
        <v>458428.75938536308</v>
      </c>
      <c r="K29" s="109">
        <v>35082.858478802991</v>
      </c>
      <c r="L29" s="109">
        <v>1776806.3466258342</v>
      </c>
      <c r="M29" s="109">
        <v>3519835.7059288481</v>
      </c>
      <c r="N29" s="515">
        <f t="shared" si="5"/>
        <v>15472644.147602696</v>
      </c>
      <c r="O29" s="547">
        <f t="shared" si="6"/>
        <v>26448557</v>
      </c>
      <c r="P29" s="240">
        <f>'B4-FinPerf RE'!K30</f>
        <v>26448557</v>
      </c>
      <c r="Q29" s="75">
        <f>'B4-FinPerf RE'!L30</f>
        <v>27903227.635000002</v>
      </c>
      <c r="R29" s="76">
        <f>'B4-FinPerf RE'!M30</f>
        <v>29437905.154925004</v>
      </c>
    </row>
    <row r="30" spans="1:18" ht="12.75" customHeight="1" x14ac:dyDescent="0.25">
      <c r="A30" s="85" t="s">
        <v>655</v>
      </c>
      <c r="B30" s="129"/>
      <c r="C30" s="389">
        <v>0</v>
      </c>
      <c r="D30" s="109">
        <v>38677952.289999999</v>
      </c>
      <c r="E30" s="109">
        <v>246081.12</v>
      </c>
      <c r="F30" s="109">
        <v>14632485.530000001</v>
      </c>
      <c r="G30" s="109">
        <v>27051196.91</v>
      </c>
      <c r="H30" s="388">
        <v>69891648.800000012</v>
      </c>
      <c r="I30" s="389">
        <v>15333567.700021181</v>
      </c>
      <c r="J30" s="109">
        <v>31006523.323364042</v>
      </c>
      <c r="K30" s="109">
        <v>23270901.357692692</v>
      </c>
      <c r="L30" s="109">
        <v>25470097.760531057</v>
      </c>
      <c r="M30" s="109">
        <v>23033873.210584648</v>
      </c>
      <c r="N30" s="515">
        <f t="shared" si="5"/>
        <v>71385671.99780637</v>
      </c>
      <c r="O30" s="547">
        <f t="shared" si="6"/>
        <v>340000000</v>
      </c>
      <c r="P30" s="240">
        <f>'B4-FinPerf RE'!K31</f>
        <v>340000000</v>
      </c>
      <c r="Q30" s="75">
        <f>'B4-FinPerf RE'!L31</f>
        <v>358700000</v>
      </c>
      <c r="R30" s="76">
        <f>'B4-FinPerf RE'!M31</f>
        <v>378428500</v>
      </c>
    </row>
    <row r="31" spans="1:18" ht="12.75" customHeight="1" x14ac:dyDescent="0.25">
      <c r="A31" s="85" t="s">
        <v>656</v>
      </c>
      <c r="B31" s="129"/>
      <c r="C31" s="389">
        <v>681092.36000000034</v>
      </c>
      <c r="D31" s="109">
        <v>3537633.3100000005</v>
      </c>
      <c r="E31" s="109">
        <v>1453562.2200000007</v>
      </c>
      <c r="F31" s="109">
        <v>4237490.4800000004</v>
      </c>
      <c r="G31" s="109">
        <v>3884203.66</v>
      </c>
      <c r="H31" s="388">
        <v>6276730.4700000007</v>
      </c>
      <c r="I31" s="389">
        <v>3220034.2175467126</v>
      </c>
      <c r="J31" s="109">
        <v>2614692.314843785</v>
      </c>
      <c r="K31" s="109">
        <v>3472696.7521748245</v>
      </c>
      <c r="L31" s="109">
        <v>4753451.3266038075</v>
      </c>
      <c r="M31" s="109">
        <v>8421016.7631326728</v>
      </c>
      <c r="N31" s="515">
        <f t="shared" si="5"/>
        <v>31562534.465698197</v>
      </c>
      <c r="O31" s="547">
        <f t="shared" si="6"/>
        <v>74115138.340000004</v>
      </c>
      <c r="P31" s="240">
        <f>'B4-FinPerf RE'!K32</f>
        <v>74115138.340000004</v>
      </c>
      <c r="Q31" s="75">
        <f>'B4-FinPerf RE'!L32</f>
        <v>73950687.474099994</v>
      </c>
      <c r="R31" s="76">
        <f>'B4-FinPerf RE'!M32</f>
        <v>78017976.205175489</v>
      </c>
    </row>
    <row r="32" spans="1:18" ht="12.75" customHeight="1" x14ac:dyDescent="0.25">
      <c r="A32" s="85" t="s">
        <v>657</v>
      </c>
      <c r="B32" s="129"/>
      <c r="C32" s="389">
        <v>3974324.2700000005</v>
      </c>
      <c r="D32" s="109">
        <v>4720059.45</v>
      </c>
      <c r="E32" s="109">
        <v>3370113.6500000004</v>
      </c>
      <c r="F32" s="109">
        <v>3485444.9299999997</v>
      </c>
      <c r="G32" s="109">
        <v>2852893.5100000002</v>
      </c>
      <c r="H32" s="388">
        <v>4354683.5699999994</v>
      </c>
      <c r="I32" s="389">
        <v>4089249.1386318584</v>
      </c>
      <c r="J32" s="109">
        <v>4329872.7159370175</v>
      </c>
      <c r="K32" s="109">
        <v>4798741.0424721995</v>
      </c>
      <c r="L32" s="109">
        <v>4430439.1582680596</v>
      </c>
      <c r="M32" s="109">
        <v>8154755.9602155928</v>
      </c>
      <c r="N32" s="515">
        <f t="shared" si="5"/>
        <v>8505794.6044752747</v>
      </c>
      <c r="O32" s="547">
        <f t="shared" si="6"/>
        <v>57066372</v>
      </c>
      <c r="P32" s="240">
        <f>'B4-FinPerf RE'!K33</f>
        <v>57066372</v>
      </c>
      <c r="Q32" s="75">
        <f>'B4-FinPerf RE'!L33</f>
        <v>57040022.459999993</v>
      </c>
      <c r="R32" s="76">
        <f>'B4-FinPerf RE'!M33</f>
        <v>60177223.695299998</v>
      </c>
    </row>
    <row r="33" spans="1:18" ht="12.75" customHeight="1" x14ac:dyDescent="0.25">
      <c r="A33" s="85" t="s">
        <v>568</v>
      </c>
      <c r="B33" s="129"/>
      <c r="C33" s="389">
        <v>65452.73</v>
      </c>
      <c r="D33" s="109">
        <v>367561.66000000003</v>
      </c>
      <c r="E33" s="109">
        <v>1414359.63</v>
      </c>
      <c r="F33" s="109">
        <v>2124795.29</v>
      </c>
      <c r="G33" s="109">
        <v>1344127.3399999999</v>
      </c>
      <c r="H33" s="388">
        <v>1054698.03</v>
      </c>
      <c r="I33" s="389">
        <v>2174807.7554306686</v>
      </c>
      <c r="J33" s="109">
        <v>2530861.7451013997</v>
      </c>
      <c r="K33" s="109">
        <v>1456157.2670997484</v>
      </c>
      <c r="L33" s="109">
        <v>3395850.9500505719</v>
      </c>
      <c r="M33" s="109">
        <v>2054535.2015729798</v>
      </c>
      <c r="N33" s="515">
        <f t="shared" si="5"/>
        <v>12821465.400744632</v>
      </c>
      <c r="O33" s="547">
        <f t="shared" si="6"/>
        <v>30804673</v>
      </c>
      <c r="P33" s="240">
        <f>'B4-FinPerf RE'!K34</f>
        <v>30804673</v>
      </c>
      <c r="Q33" s="75">
        <f>'B4-FinPerf RE'!L34</f>
        <v>25695545.015000001</v>
      </c>
      <c r="R33" s="76">
        <f>'B4-FinPerf RE'!M34</f>
        <v>22613584.990825001</v>
      </c>
    </row>
    <row r="34" spans="1:18" ht="12.75" customHeight="1" x14ac:dyDescent="0.25">
      <c r="A34" s="85" t="s">
        <v>569</v>
      </c>
      <c r="B34" s="129"/>
      <c r="C34" s="389">
        <v>10170117.869999992</v>
      </c>
      <c r="D34" s="109">
        <v>17288918.650000002</v>
      </c>
      <c r="E34" s="109">
        <v>11323139.280000009</v>
      </c>
      <c r="F34" s="109">
        <v>15584595.369999994</v>
      </c>
      <c r="G34" s="109">
        <v>12279445.249999991</v>
      </c>
      <c r="H34" s="388">
        <v>10047815.290000005</v>
      </c>
      <c r="I34" s="389">
        <v>11370880.874721196</v>
      </c>
      <c r="J34" s="109">
        <v>7071924.1750601586</v>
      </c>
      <c r="K34" s="109">
        <v>15872630.024581034</v>
      </c>
      <c r="L34" s="109">
        <v>8689544.0792139713</v>
      </c>
      <c r="M34" s="109">
        <v>7584415.5198025787</v>
      </c>
      <c r="N34" s="515">
        <f t="shared" si="5"/>
        <v>1198129.5166210681</v>
      </c>
      <c r="O34" s="547">
        <f t="shared" si="6"/>
        <v>128481555.90000001</v>
      </c>
      <c r="P34" s="240">
        <f>'B4-FinPerf RE'!K35</f>
        <v>128481555.90000001</v>
      </c>
      <c r="Q34" s="75">
        <f>'B4-FinPerf RE'!L35</f>
        <v>126036797.84449999</v>
      </c>
      <c r="R34" s="76">
        <f>'B4-FinPerf RE'!M35</f>
        <v>132978945.66594747</v>
      </c>
    </row>
    <row r="35" spans="1:18" ht="12.75" customHeight="1" x14ac:dyDescent="0.25">
      <c r="A35" s="85" t="s">
        <v>659</v>
      </c>
      <c r="B35" s="129"/>
      <c r="C35" s="389"/>
      <c r="D35" s="109"/>
      <c r="E35" s="109"/>
      <c r="F35" s="109"/>
      <c r="G35" s="109"/>
      <c r="H35" s="388"/>
      <c r="I35" s="389"/>
      <c r="J35" s="109"/>
      <c r="K35" s="109"/>
      <c r="L35" s="109"/>
      <c r="M35" s="109"/>
      <c r="N35" s="515">
        <f t="shared" si="5"/>
        <v>0</v>
      </c>
      <c r="O35" s="547">
        <f t="shared" si="6"/>
        <v>0</v>
      </c>
      <c r="P35" s="240">
        <f>'B4-FinPerf RE'!K36</f>
        <v>0</v>
      </c>
      <c r="Q35" s="75">
        <f>'B4-FinPerf RE'!L36</f>
        <v>0</v>
      </c>
      <c r="R35" s="76">
        <f>'B4-FinPerf RE'!M36</f>
        <v>0</v>
      </c>
    </row>
    <row r="36" spans="1:18" ht="12.75" customHeight="1" x14ac:dyDescent="0.25">
      <c r="A36" s="139" t="s">
        <v>570</v>
      </c>
      <c r="B36" s="548"/>
      <c r="C36" s="492">
        <f>SUM(C25:C35)</f>
        <v>41706211.289999999</v>
      </c>
      <c r="D36" s="81">
        <f t="shared" ref="D36:R36" si="7">SUM(D25:D35)</f>
        <v>90414063.189999998</v>
      </c>
      <c r="E36" s="81">
        <f t="shared" si="7"/>
        <v>47816806.380000018</v>
      </c>
      <c r="F36" s="81">
        <f t="shared" si="7"/>
        <v>69182823.340000004</v>
      </c>
      <c r="G36" s="81">
        <f t="shared" si="7"/>
        <v>73861719.439999983</v>
      </c>
      <c r="H36" s="526">
        <f t="shared" si="7"/>
        <v>119763728.26000001</v>
      </c>
      <c r="I36" s="492">
        <f t="shared" si="7"/>
        <v>78975951.887131929</v>
      </c>
      <c r="J36" s="81">
        <f t="shared" si="7"/>
        <v>89506420.019543529</v>
      </c>
      <c r="K36" s="81">
        <f t="shared" si="7"/>
        <v>89765702.486685127</v>
      </c>
      <c r="L36" s="81">
        <f t="shared" si="7"/>
        <v>90365488.402917698</v>
      </c>
      <c r="M36" s="81">
        <f t="shared" si="7"/>
        <v>93937491.132642895</v>
      </c>
      <c r="N36" s="526">
        <f t="shared" si="7"/>
        <v>298843210.25107884</v>
      </c>
      <c r="O36" s="568">
        <f t="shared" si="7"/>
        <v>1184139616.0800002</v>
      </c>
      <c r="P36" s="492">
        <f t="shared" si="7"/>
        <v>1184139616.0800002</v>
      </c>
      <c r="Q36" s="81">
        <f t="shared" si="7"/>
        <v>1220134066.4636002</v>
      </c>
      <c r="R36" s="82">
        <f t="shared" si="7"/>
        <v>1278822450.549098</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571</v>
      </c>
      <c r="B38" s="162"/>
      <c r="C38" s="492">
        <f t="shared" ref="C38:R38" si="8">C22-C36</f>
        <v>169194884.34</v>
      </c>
      <c r="D38" s="81">
        <f t="shared" si="8"/>
        <v>-18771304.699999988</v>
      </c>
      <c r="E38" s="81">
        <f t="shared" si="8"/>
        <v>19520490.969999991</v>
      </c>
      <c r="F38" s="81">
        <f t="shared" si="8"/>
        <v>1490724.599999994</v>
      </c>
      <c r="G38" s="81">
        <f t="shared" si="8"/>
        <v>-3310402.5499999821</v>
      </c>
      <c r="H38" s="526">
        <f t="shared" si="8"/>
        <v>51050933.920000002</v>
      </c>
      <c r="I38" s="492">
        <f t="shared" si="8"/>
        <v>-16634228.245134816</v>
      </c>
      <c r="J38" s="81">
        <f t="shared" si="8"/>
        <v>-34960083.66327662</v>
      </c>
      <c r="K38" s="81">
        <f t="shared" si="8"/>
        <v>58408323.986186594</v>
      </c>
      <c r="L38" s="81">
        <f t="shared" si="8"/>
        <v>-33322176.87969169</v>
      </c>
      <c r="M38" s="81">
        <f t="shared" si="8"/>
        <v>-38733581.777154312</v>
      </c>
      <c r="N38" s="526">
        <f t="shared" si="8"/>
        <v>-249484873.08092928</v>
      </c>
      <c r="O38" s="568">
        <f t="shared" si="8"/>
        <v>-95551293.080000162</v>
      </c>
      <c r="P38" s="492">
        <f t="shared" si="8"/>
        <v>-95551293.080000162</v>
      </c>
      <c r="Q38" s="81">
        <f t="shared" si="8"/>
        <v>-59644076.948600292</v>
      </c>
      <c r="R38" s="82">
        <f t="shared" si="8"/>
        <v>-45240329.360773087</v>
      </c>
    </row>
    <row r="39" spans="1:18" ht="23.65" customHeight="1" x14ac:dyDescent="0.25">
      <c r="A39" s="1236" t="s">
        <v>1495</v>
      </c>
      <c r="B39" s="129"/>
      <c r="C39" s="389">
        <v>55389000</v>
      </c>
      <c r="D39" s="109">
        <v>0</v>
      </c>
      <c r="E39" s="109">
        <v>0</v>
      </c>
      <c r="F39" s="109">
        <v>0</v>
      </c>
      <c r="G39" s="109">
        <v>0</v>
      </c>
      <c r="H39" s="388">
        <v>23078000</v>
      </c>
      <c r="I39" s="389">
        <v>0</v>
      </c>
      <c r="J39" s="109">
        <v>0</v>
      </c>
      <c r="K39" s="109">
        <f>13848000-4615750</f>
        <v>9232250</v>
      </c>
      <c r="L39" s="109">
        <v>0</v>
      </c>
      <c r="M39" s="109"/>
      <c r="N39" s="515">
        <f>P39-SUM(C39:M39)</f>
        <v>0</v>
      </c>
      <c r="O39" s="547"/>
      <c r="P39" s="240">
        <f>'B4-FinPerf RE'!K40</f>
        <v>87699250</v>
      </c>
      <c r="Q39" s="75">
        <f>'B4-FinPerf RE'!L40</f>
        <v>89549850</v>
      </c>
      <c r="R39" s="76">
        <f>'B4-FinPerf RE'!M40</f>
        <v>94667480</v>
      </c>
    </row>
    <row r="40" spans="1:18" ht="42" customHeight="1" x14ac:dyDescent="0.25">
      <c r="A40" s="1236" t="s">
        <v>1496</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1497</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573</v>
      </c>
      <c r="B42" s="155"/>
      <c r="C42" s="116">
        <f>C38+SUM(C39:C41)</f>
        <v>224583884.34</v>
      </c>
      <c r="D42" s="117">
        <f t="shared" ref="D42:R42" si="9">D38+SUM(D39:D41)</f>
        <v>-18771304.699999988</v>
      </c>
      <c r="E42" s="117">
        <f t="shared" si="9"/>
        <v>19520490.969999991</v>
      </c>
      <c r="F42" s="117">
        <f t="shared" si="9"/>
        <v>1490724.599999994</v>
      </c>
      <c r="G42" s="117">
        <f t="shared" si="9"/>
        <v>-3310402.5499999821</v>
      </c>
      <c r="H42" s="529">
        <f t="shared" si="9"/>
        <v>74128933.920000002</v>
      </c>
      <c r="I42" s="116">
        <f t="shared" si="9"/>
        <v>-16634228.245134816</v>
      </c>
      <c r="J42" s="117">
        <f t="shared" si="9"/>
        <v>-34960083.66327662</v>
      </c>
      <c r="K42" s="117">
        <f t="shared" si="9"/>
        <v>67640573.986186594</v>
      </c>
      <c r="L42" s="117">
        <f t="shared" si="9"/>
        <v>-33322176.87969169</v>
      </c>
      <c r="M42" s="117">
        <f t="shared" si="9"/>
        <v>-38733581.777154312</v>
      </c>
      <c r="N42" s="529">
        <f t="shared" si="9"/>
        <v>-249484873.08092928</v>
      </c>
      <c r="O42" s="550">
        <f t="shared" si="9"/>
        <v>-95551293.080000162</v>
      </c>
      <c r="P42" s="116">
        <f>P38+SUM(P39:P41)</f>
        <v>-7852043.0800001621</v>
      </c>
      <c r="Q42" s="117">
        <f t="shared" si="9"/>
        <v>29905773.051399708</v>
      </c>
      <c r="R42" s="118">
        <f t="shared" si="9"/>
        <v>49427150.639226913</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457</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P46" sqref="P46"/>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LIM333 Greater Tzaneen - Supporting Table SB15 Adjustments Budget - monthly cash flow - 27/02/2019</v>
      </c>
      <c r="B1" s="57"/>
      <c r="D1" s="58"/>
    </row>
    <row r="2" spans="1:18" ht="25.5" customHeight="1" x14ac:dyDescent="0.25">
      <c r="A2" s="1398" t="s">
        <v>458</v>
      </c>
      <c r="B2" s="1393" t="str">
        <f>head27</f>
        <v>Ref</v>
      </c>
      <c r="C2" s="1390" t="str">
        <f>Head2</f>
        <v>Budget Year 2018/19</v>
      </c>
      <c r="D2" s="1391"/>
      <c r="E2" s="1391"/>
      <c r="F2" s="1391"/>
      <c r="G2" s="1391"/>
      <c r="H2" s="1391"/>
      <c r="I2" s="1391"/>
      <c r="J2" s="1391"/>
      <c r="K2" s="1391"/>
      <c r="L2" s="1391"/>
      <c r="M2" s="1391"/>
      <c r="N2" s="1392"/>
      <c r="O2" s="534"/>
      <c r="P2" s="1390" t="str">
        <f>Head3a</f>
        <v>Medium Term Revenue and Expenditure Framework</v>
      </c>
      <c r="Q2" s="1391"/>
      <c r="R2" s="1442"/>
    </row>
    <row r="3" spans="1:18"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69" t="s">
        <v>605</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8" ht="12.75" customHeight="1" x14ac:dyDescent="0.25">
      <c r="A5" s="514" t="s">
        <v>459</v>
      </c>
      <c r="B5" s="129">
        <v>1</v>
      </c>
      <c r="C5" s="240"/>
      <c r="D5" s="75"/>
      <c r="E5" s="75"/>
      <c r="F5" s="75"/>
      <c r="G5" s="75"/>
      <c r="H5" s="515"/>
      <c r="I5" s="240"/>
      <c r="J5" s="75"/>
      <c r="K5" s="75"/>
      <c r="L5" s="75"/>
      <c r="M5" s="75"/>
      <c r="N5" s="515"/>
      <c r="O5" s="547"/>
      <c r="P5" s="652"/>
      <c r="Q5" s="75"/>
      <c r="R5" s="76"/>
    </row>
    <row r="6" spans="1:18" ht="12.4" customHeight="1" x14ac:dyDescent="0.25">
      <c r="A6" s="129" t="s">
        <v>558</v>
      </c>
      <c r="B6" s="129"/>
      <c r="C6" s="389">
        <v>6492740.5099999998</v>
      </c>
      <c r="D6" s="109">
        <v>8072864</v>
      </c>
      <c r="E6" s="109">
        <v>6059267.4199999999</v>
      </c>
      <c r="F6" s="109">
        <v>7603648</v>
      </c>
      <c r="G6" s="109">
        <v>6659374</v>
      </c>
      <c r="H6" s="388">
        <v>6380384.54</v>
      </c>
      <c r="I6" s="389">
        <v>7380167.8624595981</v>
      </c>
      <c r="J6" s="109">
        <v>8233866.0111789452</v>
      </c>
      <c r="K6" s="109">
        <v>9033854.7674797494</v>
      </c>
      <c r="L6" s="109">
        <v>8827206.3763987049</v>
      </c>
      <c r="M6" s="109">
        <v>7840480.5528762396</v>
      </c>
      <c r="N6" s="515">
        <f t="shared" ref="N6:N20" si="2">P6-SUM(C6:M6)</f>
        <v>11216145.959606767</v>
      </c>
      <c r="O6" s="547">
        <f t="shared" ref="O6:O20" si="3">SUM(C6:N6)</f>
        <v>93800000</v>
      </c>
      <c r="P6" s="389">
        <v>93800000</v>
      </c>
      <c r="Q6" s="109">
        <v>98959000</v>
      </c>
      <c r="R6" s="110">
        <v>104401745</v>
      </c>
    </row>
    <row r="7" spans="1:18" ht="12.4" customHeight="1" x14ac:dyDescent="0.25">
      <c r="A7" s="129" t="s">
        <v>641</v>
      </c>
      <c r="B7" s="129"/>
      <c r="C7" s="389">
        <v>35217485.210000001</v>
      </c>
      <c r="D7" s="109">
        <v>45547690</v>
      </c>
      <c r="E7" s="109">
        <v>44488231.380000003</v>
      </c>
      <c r="F7" s="109">
        <v>65288170</v>
      </c>
      <c r="G7" s="109">
        <v>45740402</v>
      </c>
      <c r="H7" s="388">
        <v>42194201.109999999</v>
      </c>
      <c r="I7" s="389">
        <v>41532609.101851195</v>
      </c>
      <c r="J7" s="109">
        <v>41822797.185033582</v>
      </c>
      <c r="K7" s="109">
        <v>39146298.12939772</v>
      </c>
      <c r="L7" s="109">
        <v>35956153.793967716</v>
      </c>
      <c r="M7" s="109">
        <v>48558027.333022714</v>
      </c>
      <c r="N7" s="515">
        <f t="shared" si="2"/>
        <v>15858934.756727099</v>
      </c>
      <c r="O7" s="547">
        <f t="shared" si="3"/>
        <v>501351000</v>
      </c>
      <c r="P7" s="389">
        <v>501351000</v>
      </c>
      <c r="Q7" s="109">
        <v>528925305</v>
      </c>
      <c r="R7" s="110">
        <v>558016196.77499998</v>
      </c>
    </row>
    <row r="8" spans="1:18" ht="12.4" customHeight="1" x14ac:dyDescent="0.25">
      <c r="A8" s="129" t="s">
        <v>642</v>
      </c>
      <c r="B8" s="129"/>
      <c r="C8" s="389">
        <v>1440252.45</v>
      </c>
      <c r="D8" s="109">
        <v>1547066</v>
      </c>
      <c r="E8" s="109">
        <v>1345804.13</v>
      </c>
      <c r="F8" s="109">
        <v>1877744</v>
      </c>
      <c r="G8" s="109">
        <v>2070073</v>
      </c>
      <c r="H8" s="388">
        <v>1804335.95</v>
      </c>
      <c r="I8" s="389"/>
      <c r="J8" s="109"/>
      <c r="K8" s="109"/>
      <c r="L8" s="109"/>
      <c r="M8" s="109"/>
      <c r="N8" s="515">
        <f t="shared" si="2"/>
        <v>-10085275.529999999</v>
      </c>
      <c r="O8" s="547">
        <f t="shared" si="3"/>
        <v>0</v>
      </c>
      <c r="P8" s="389">
        <v>0</v>
      </c>
      <c r="Q8" s="109">
        <v>0</v>
      </c>
      <c r="R8" s="110">
        <v>0</v>
      </c>
    </row>
    <row r="9" spans="1:18" ht="12.4" customHeight="1" x14ac:dyDescent="0.25">
      <c r="A9" s="129" t="s">
        <v>643</v>
      </c>
      <c r="B9" s="129"/>
      <c r="C9" s="389">
        <v>400028.53</v>
      </c>
      <c r="D9" s="109">
        <v>565784</v>
      </c>
      <c r="E9" s="109">
        <v>398252.46</v>
      </c>
      <c r="F9" s="109">
        <v>496276</v>
      </c>
      <c r="G9" s="109">
        <v>571045</v>
      </c>
      <c r="H9" s="388">
        <v>397081.4</v>
      </c>
      <c r="I9" s="389"/>
      <c r="J9" s="109"/>
      <c r="K9" s="109"/>
      <c r="L9" s="109"/>
      <c r="M9" s="109"/>
      <c r="N9" s="515">
        <f t="shared" si="2"/>
        <v>-2828467.39</v>
      </c>
      <c r="O9" s="547">
        <f t="shared" si="3"/>
        <v>0</v>
      </c>
      <c r="P9" s="389">
        <v>0</v>
      </c>
      <c r="Q9" s="109">
        <v>0</v>
      </c>
      <c r="R9" s="110">
        <v>0</v>
      </c>
    </row>
    <row r="10" spans="1:18" ht="12.4" customHeight="1" x14ac:dyDescent="0.25">
      <c r="A10" s="129" t="s">
        <v>246</v>
      </c>
      <c r="B10" s="129"/>
      <c r="C10" s="389">
        <v>2205237.44</v>
      </c>
      <c r="D10" s="109">
        <v>3268970</v>
      </c>
      <c r="E10" s="109">
        <v>2062845.62</v>
      </c>
      <c r="F10" s="109">
        <v>3086391</v>
      </c>
      <c r="G10" s="109">
        <v>2165641</v>
      </c>
      <c r="H10" s="388">
        <v>2408217.0299999998</v>
      </c>
      <c r="I10" s="389">
        <v>2381704.024805414</v>
      </c>
      <c r="J10" s="109">
        <v>2338836.8542870106</v>
      </c>
      <c r="K10" s="109">
        <v>2363867.1990757766</v>
      </c>
      <c r="L10" s="109">
        <v>2740245.2873235773</v>
      </c>
      <c r="M10" s="109">
        <v>2412921.0843263753</v>
      </c>
      <c r="N10" s="515">
        <f t="shared" si="2"/>
        <v>2997123.4601818509</v>
      </c>
      <c r="O10" s="547">
        <f t="shared" si="3"/>
        <v>30432000</v>
      </c>
      <c r="P10" s="389">
        <v>30432000</v>
      </c>
      <c r="Q10" s="109">
        <v>32105760</v>
      </c>
      <c r="R10" s="110">
        <v>33871576.799999997</v>
      </c>
    </row>
    <row r="11" spans="1:18" ht="1.1499999999999999" customHeight="1" x14ac:dyDescent="0.25">
      <c r="A11" s="129"/>
      <c r="B11" s="129"/>
      <c r="C11" s="1135"/>
      <c r="D11" s="132"/>
      <c r="E11" s="132"/>
      <c r="F11" s="132"/>
      <c r="G11" s="132"/>
      <c r="H11" s="1339"/>
      <c r="I11" s="1135"/>
      <c r="J11" s="132"/>
      <c r="K11" s="132"/>
      <c r="L11" s="132"/>
      <c r="M11" s="132"/>
      <c r="N11" s="1339"/>
      <c r="O11" s="1340"/>
      <c r="P11" s="1135"/>
      <c r="Q11" s="132"/>
      <c r="R11" s="133"/>
    </row>
    <row r="12" spans="1:18" ht="12.4" customHeight="1" x14ac:dyDescent="0.25">
      <c r="A12" s="129" t="s">
        <v>644</v>
      </c>
      <c r="B12" s="129"/>
      <c r="C12" s="389">
        <v>5100</v>
      </c>
      <c r="D12" s="109">
        <v>4600</v>
      </c>
      <c r="E12" s="109">
        <v>900</v>
      </c>
      <c r="F12" s="109">
        <v>164300</v>
      </c>
      <c r="G12" s="109">
        <v>15335</v>
      </c>
      <c r="H12" s="388">
        <v>58600</v>
      </c>
      <c r="I12" s="389">
        <v>162336.34335687716</v>
      </c>
      <c r="J12" s="109">
        <v>153957.99201738587</v>
      </c>
      <c r="K12" s="109">
        <v>161757.72793287932</v>
      </c>
      <c r="L12" s="109">
        <v>153957.99201738587</v>
      </c>
      <c r="M12" s="109">
        <v>161040.24480712175</v>
      </c>
      <c r="N12" s="515">
        <f t="shared" si="2"/>
        <v>730214.69986835006</v>
      </c>
      <c r="O12" s="547">
        <f t="shared" si="3"/>
        <v>1772100</v>
      </c>
      <c r="P12" s="389">
        <v>1772100</v>
      </c>
      <c r="Q12" s="109">
        <v>1869565.5</v>
      </c>
      <c r="R12" s="110">
        <v>1972391.6025</v>
      </c>
    </row>
    <row r="13" spans="1:18" ht="12.4" customHeight="1" x14ac:dyDescent="0.25">
      <c r="A13" s="129" t="s">
        <v>645</v>
      </c>
      <c r="B13" s="129"/>
      <c r="C13" s="389">
        <v>0</v>
      </c>
      <c r="D13" s="109"/>
      <c r="E13" s="109"/>
      <c r="F13" s="109">
        <v>285941</v>
      </c>
      <c r="G13" s="109">
        <v>68279</v>
      </c>
      <c r="H13" s="388">
        <v>275397.09999999998</v>
      </c>
      <c r="I13" s="389">
        <v>244843.14724843286</v>
      </c>
      <c r="J13" s="109">
        <v>158215.57479914572</v>
      </c>
      <c r="K13" s="109">
        <v>142575.82718942271</v>
      </c>
      <c r="L13" s="109">
        <v>1431637.0837999429</v>
      </c>
      <c r="M13" s="109">
        <v>55286.595631225719</v>
      </c>
      <c r="N13" s="515">
        <f t="shared" si="2"/>
        <v>1138824.6713318303</v>
      </c>
      <c r="O13" s="547">
        <f t="shared" si="3"/>
        <v>3801000</v>
      </c>
      <c r="P13" s="389">
        <v>3801000</v>
      </c>
      <c r="Q13" s="109">
        <v>4010055</v>
      </c>
      <c r="R13" s="110">
        <v>4230608.0250000004</v>
      </c>
    </row>
    <row r="14" spans="1:18" ht="12.4" customHeight="1" x14ac:dyDescent="0.25">
      <c r="A14" s="129" t="s">
        <v>646</v>
      </c>
      <c r="B14" s="129"/>
      <c r="C14" s="389">
        <v>0</v>
      </c>
      <c r="D14" s="109"/>
      <c r="E14" s="109"/>
      <c r="F14" s="109">
        <v>0</v>
      </c>
      <c r="G14" s="109">
        <v>0</v>
      </c>
      <c r="H14" s="388">
        <v>0</v>
      </c>
      <c r="I14" s="389">
        <v>1495248.3462495857</v>
      </c>
      <c r="J14" s="109">
        <v>1425270.2776110871</v>
      </c>
      <c r="K14" s="109">
        <v>1506524.5355570859</v>
      </c>
      <c r="L14" s="109">
        <v>1562352.2616149858</v>
      </c>
      <c r="M14" s="109">
        <v>1251344.3859350129</v>
      </c>
      <c r="N14" s="515">
        <f t="shared" si="2"/>
        <v>9759260.1930322424</v>
      </c>
      <c r="O14" s="547">
        <f t="shared" si="3"/>
        <v>17000000</v>
      </c>
      <c r="P14" s="389">
        <v>17000000</v>
      </c>
      <c r="Q14" s="109">
        <v>17935000</v>
      </c>
      <c r="R14" s="110">
        <v>18921425</v>
      </c>
    </row>
    <row r="15" spans="1:18" ht="12.4" customHeight="1" x14ac:dyDescent="0.25">
      <c r="A15" s="129" t="s">
        <v>647</v>
      </c>
      <c r="B15" s="129"/>
      <c r="C15" s="389">
        <v>0</v>
      </c>
      <c r="D15" s="109"/>
      <c r="E15" s="109"/>
      <c r="F15" s="109">
        <v>0</v>
      </c>
      <c r="G15" s="109">
        <v>0</v>
      </c>
      <c r="H15" s="388">
        <v>0</v>
      </c>
      <c r="I15" s="389">
        <v>0</v>
      </c>
      <c r="J15" s="109">
        <v>0</v>
      </c>
      <c r="K15" s="109">
        <v>0</v>
      </c>
      <c r="L15" s="109">
        <v>0</v>
      </c>
      <c r="M15" s="109">
        <v>0</v>
      </c>
      <c r="N15" s="515">
        <f t="shared" si="2"/>
        <v>0</v>
      </c>
      <c r="O15" s="547">
        <f t="shared" si="3"/>
        <v>0</v>
      </c>
      <c r="P15" s="389"/>
      <c r="Q15" s="109"/>
      <c r="R15" s="110"/>
    </row>
    <row r="16" spans="1:18" ht="12.4" customHeight="1" x14ac:dyDescent="0.25">
      <c r="A16" s="129" t="s">
        <v>1499</v>
      </c>
      <c r="B16" s="129"/>
      <c r="C16" s="389">
        <v>24163.47</v>
      </c>
      <c r="D16" s="109">
        <v>267936</v>
      </c>
      <c r="E16" s="109">
        <v>49485.41</v>
      </c>
      <c r="F16" s="109">
        <v>517230</v>
      </c>
      <c r="G16" s="109">
        <v>26454</v>
      </c>
      <c r="H16" s="388">
        <v>428336.35</v>
      </c>
      <c r="I16" s="389">
        <v>301533.98398011335</v>
      </c>
      <c r="J16" s="109">
        <v>226784.61669182111</v>
      </c>
      <c r="K16" s="109">
        <v>449174.85114613554</v>
      </c>
      <c r="L16" s="109">
        <v>505955.48570511781</v>
      </c>
      <c r="M16" s="109">
        <v>281204.00693428778</v>
      </c>
      <c r="N16" s="515">
        <f t="shared" si="2"/>
        <v>1422877.8255425245</v>
      </c>
      <c r="O16" s="547">
        <f t="shared" si="3"/>
        <v>4501136</v>
      </c>
      <c r="P16" s="389">
        <v>4501136</v>
      </c>
      <c r="Q16" s="109">
        <v>4748698.4800000004</v>
      </c>
      <c r="R16" s="110">
        <v>5009876.8964</v>
      </c>
    </row>
    <row r="17" spans="1:18" ht="12.4" customHeight="1" x14ac:dyDescent="0.25">
      <c r="A17" s="129" t="s">
        <v>648</v>
      </c>
      <c r="B17" s="129"/>
      <c r="C17" s="389">
        <v>82858.740000000005</v>
      </c>
      <c r="D17" s="109">
        <v>53765</v>
      </c>
      <c r="E17" s="109">
        <v>80323.63</v>
      </c>
      <c r="F17" s="109">
        <v>122230</v>
      </c>
      <c r="G17" s="109">
        <v>127221</v>
      </c>
      <c r="H17" s="388">
        <v>28189.5</v>
      </c>
      <c r="I17" s="389">
        <v>46583.978338168337</v>
      </c>
      <c r="J17" s="109">
        <v>55227.514284984558</v>
      </c>
      <c r="K17" s="109">
        <v>56911.355956136227</v>
      </c>
      <c r="L17" s="109">
        <v>69631.561212056564</v>
      </c>
      <c r="M17" s="109">
        <v>77653.349699705781</v>
      </c>
      <c r="N17" s="515">
        <f t="shared" si="2"/>
        <v>-29595.629491051426</v>
      </c>
      <c r="O17" s="547">
        <f t="shared" si="3"/>
        <v>771000</v>
      </c>
      <c r="P17" s="389">
        <v>771000</v>
      </c>
      <c r="Q17" s="109">
        <v>813405</v>
      </c>
      <c r="R17" s="110">
        <v>858142.27500000002</v>
      </c>
    </row>
    <row r="18" spans="1:18" ht="12.4" customHeight="1" x14ac:dyDescent="0.25">
      <c r="A18" s="129" t="s">
        <v>649</v>
      </c>
      <c r="B18" s="129"/>
      <c r="C18" s="389">
        <v>4867072.75</v>
      </c>
      <c r="D18" s="109">
        <v>4634514</v>
      </c>
      <c r="E18" s="109">
        <v>4774804.1500000004</v>
      </c>
      <c r="F18" s="109">
        <v>4398054</v>
      </c>
      <c r="G18" s="109">
        <v>3950826</v>
      </c>
      <c r="H18" s="388">
        <v>3108291.4</v>
      </c>
      <c r="I18" s="389">
        <v>4459147.0835357895</v>
      </c>
      <c r="J18" s="109">
        <v>4634955.2898115115</v>
      </c>
      <c r="K18" s="109">
        <v>3211270.6513693668</v>
      </c>
      <c r="L18" s="109">
        <v>4961791.7945267335</v>
      </c>
      <c r="M18" s="109">
        <v>4961791.7945267335</v>
      </c>
      <c r="N18" s="515">
        <f t="shared" si="2"/>
        <v>3201772.0862298608</v>
      </c>
      <c r="O18" s="547">
        <f t="shared" si="3"/>
        <v>51164291</v>
      </c>
      <c r="P18" s="389">
        <v>51164291</v>
      </c>
      <c r="Q18" s="109">
        <v>53978327.005000003</v>
      </c>
      <c r="R18" s="110">
        <v>56947134.990275003</v>
      </c>
    </row>
    <row r="19" spans="1:18" ht="12.4" customHeight="1" x14ac:dyDescent="0.25">
      <c r="A19" s="129" t="s">
        <v>502</v>
      </c>
      <c r="B19" s="129"/>
      <c r="C19" s="389">
        <v>143977000</v>
      </c>
      <c r="D19" s="109">
        <v>3523000</v>
      </c>
      <c r="E19" s="109">
        <v>0</v>
      </c>
      <c r="F19" s="109">
        <v>10000000</v>
      </c>
      <c r="G19" s="109">
        <v>2529313</v>
      </c>
      <c r="H19" s="388">
        <v>111434000</v>
      </c>
      <c r="I19" s="389">
        <v>282821.03918727097</v>
      </c>
      <c r="J19" s="109">
        <v>1072647.9797701801</v>
      </c>
      <c r="K19" s="109">
        <v>93791704.335731</v>
      </c>
      <c r="L19" s="109">
        <v>0</v>
      </c>
      <c r="M19" s="109">
        <v>0</v>
      </c>
      <c r="N19" s="515">
        <f t="shared" si="2"/>
        <v>263.6453115940094</v>
      </c>
      <c r="O19" s="547">
        <f t="shared" si="3"/>
        <v>366610750</v>
      </c>
      <c r="P19" s="389">
        <v>366610750</v>
      </c>
      <c r="Q19" s="109">
        <v>398276150</v>
      </c>
      <c r="R19" s="110">
        <v>429446520</v>
      </c>
    </row>
    <row r="20" spans="1:18" ht="12.4" customHeight="1" x14ac:dyDescent="0.25">
      <c r="A20" s="129" t="s">
        <v>650</v>
      </c>
      <c r="B20" s="85"/>
      <c r="C20" s="389">
        <v>2598316.7999999998</v>
      </c>
      <c r="D20" s="109">
        <v>39908025</v>
      </c>
      <c r="E20" s="109">
        <v>10588673</v>
      </c>
      <c r="F20" s="109">
        <v>12871711</v>
      </c>
      <c r="G20" s="109">
        <v>12496856</v>
      </c>
      <c r="H20" s="388">
        <v>1274048</v>
      </c>
      <c r="I20" s="389">
        <v>1120388.8568259673</v>
      </c>
      <c r="J20" s="109">
        <v>769653.94478815817</v>
      </c>
      <c r="K20" s="109">
        <v>543957.53168896132</v>
      </c>
      <c r="L20" s="109">
        <v>470217.0703620846</v>
      </c>
      <c r="M20" s="109">
        <v>35590998.331572026</v>
      </c>
      <c r="N20" s="515">
        <f t="shared" si="2"/>
        <v>-102897799.53523719</v>
      </c>
      <c r="O20" s="547">
        <f t="shared" si="3"/>
        <v>15335046</v>
      </c>
      <c r="P20" s="389">
        <f>15385046-50000</f>
        <v>15335046</v>
      </c>
      <c r="Q20" s="109">
        <v>16231223.530000001</v>
      </c>
      <c r="R20" s="110">
        <v>17123940.82415</v>
      </c>
    </row>
    <row r="21" spans="1:18" ht="12.75" customHeight="1" x14ac:dyDescent="0.25">
      <c r="A21" s="139" t="s">
        <v>460</v>
      </c>
      <c r="B21" s="548"/>
      <c r="C21" s="303">
        <f>SUM(C6:C10)+SUM(C12:C20)</f>
        <v>197310255.90000004</v>
      </c>
      <c r="D21" s="151">
        <f t="shared" ref="D21:R21" si="4">SUM(D6:D10)+SUM(D12:D20)</f>
        <v>107394214</v>
      </c>
      <c r="E21" s="151">
        <f t="shared" si="4"/>
        <v>69848587.200000003</v>
      </c>
      <c r="F21" s="151">
        <f t="shared" si="4"/>
        <v>106711695</v>
      </c>
      <c r="G21" s="151">
        <f t="shared" si="4"/>
        <v>76420819</v>
      </c>
      <c r="H21" s="528">
        <f t="shared" si="4"/>
        <v>169791082.38</v>
      </c>
      <c r="I21" s="303">
        <f t="shared" si="4"/>
        <v>59407383.767838411</v>
      </c>
      <c r="J21" s="151">
        <f t="shared" si="4"/>
        <v>60892213.240273818</v>
      </c>
      <c r="K21" s="151">
        <f t="shared" si="4"/>
        <v>150407896.91252422</v>
      </c>
      <c r="L21" s="151">
        <f t="shared" si="4"/>
        <v>56679148.706928313</v>
      </c>
      <c r="M21" s="151">
        <f t="shared" si="4"/>
        <v>101190747.67933145</v>
      </c>
      <c r="N21" s="528">
        <f t="shared" si="4"/>
        <v>-69515720.786896139</v>
      </c>
      <c r="O21" s="549">
        <f t="shared" si="4"/>
        <v>1086538323</v>
      </c>
      <c r="P21" s="303">
        <f t="shared" si="4"/>
        <v>1086538323</v>
      </c>
      <c r="Q21" s="151">
        <f t="shared" si="4"/>
        <v>1157852489.5149999</v>
      </c>
      <c r="R21" s="152">
        <f t="shared" si="4"/>
        <v>1230799558.1883249</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461</v>
      </c>
      <c r="B23" s="129"/>
      <c r="C23" s="240"/>
      <c r="D23" s="75"/>
      <c r="E23" s="75"/>
      <c r="F23" s="75"/>
      <c r="G23" s="75"/>
      <c r="H23" s="515"/>
      <c r="I23" s="240"/>
      <c r="J23" s="75"/>
      <c r="K23" s="75"/>
      <c r="L23" s="75"/>
      <c r="M23" s="75"/>
      <c r="N23" s="515"/>
      <c r="O23" s="547"/>
      <c r="P23" s="240"/>
      <c r="Q23" s="75"/>
      <c r="R23" s="76"/>
    </row>
    <row r="24" spans="1:18" ht="12.4" customHeight="1" x14ac:dyDescent="0.25">
      <c r="A24" s="30" t="s">
        <v>722</v>
      </c>
      <c r="B24" s="129"/>
      <c r="C24" s="389">
        <v>55389000</v>
      </c>
      <c r="D24" s="109">
        <v>0</v>
      </c>
      <c r="E24" s="109">
        <v>0</v>
      </c>
      <c r="F24" s="109">
        <v>0</v>
      </c>
      <c r="G24" s="109">
        <v>0</v>
      </c>
      <c r="H24" s="388">
        <v>23078000</v>
      </c>
      <c r="I24" s="389">
        <v>0</v>
      </c>
      <c r="J24" s="109">
        <v>0</v>
      </c>
      <c r="K24" s="109">
        <v>9232201</v>
      </c>
      <c r="L24" s="109">
        <v>0</v>
      </c>
      <c r="M24" s="109">
        <v>0</v>
      </c>
      <c r="N24" s="515">
        <f t="shared" ref="N24:N32" si="5">P24-SUM(C24:M24)</f>
        <v>49</v>
      </c>
      <c r="O24" s="547">
        <f>SUM(C24:N24)</f>
        <v>87699250</v>
      </c>
      <c r="P24" s="389">
        <v>87699250</v>
      </c>
      <c r="Q24" s="109">
        <v>89549850</v>
      </c>
      <c r="R24" s="110">
        <v>94667480</v>
      </c>
    </row>
    <row r="25" spans="1:18" ht="81.75" customHeight="1" x14ac:dyDescent="0.25">
      <c r="A25" s="1341"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v>0</v>
      </c>
      <c r="D25" s="109">
        <v>0</v>
      </c>
      <c r="E25" s="109">
        <v>0</v>
      </c>
      <c r="F25" s="109">
        <v>0</v>
      </c>
      <c r="G25" s="109">
        <v>0</v>
      </c>
      <c r="H25" s="388">
        <v>0</v>
      </c>
      <c r="I25" s="389">
        <v>0</v>
      </c>
      <c r="J25" s="109">
        <v>0</v>
      </c>
      <c r="K25" s="109">
        <v>0</v>
      </c>
      <c r="L25" s="109">
        <v>0</v>
      </c>
      <c r="M25" s="109">
        <v>0</v>
      </c>
      <c r="N25" s="515">
        <f t="shared" si="5"/>
        <v>0</v>
      </c>
      <c r="O25" s="547">
        <f>SUM(C25:N25)</f>
        <v>0</v>
      </c>
      <c r="P25" s="389"/>
      <c r="Q25" s="109"/>
      <c r="R25" s="110"/>
    </row>
    <row r="26" spans="1:18" ht="12.4" customHeight="1" x14ac:dyDescent="0.25">
      <c r="A26" s="129" t="s">
        <v>734</v>
      </c>
      <c r="B26" s="129"/>
      <c r="C26" s="389">
        <v>0</v>
      </c>
      <c r="D26" s="109">
        <v>0</v>
      </c>
      <c r="E26" s="109">
        <v>0</v>
      </c>
      <c r="F26" s="109">
        <v>0</v>
      </c>
      <c r="G26" s="109">
        <v>0</v>
      </c>
      <c r="H26" s="388">
        <v>0</v>
      </c>
      <c r="I26" s="389">
        <v>0</v>
      </c>
      <c r="J26" s="109">
        <v>0</v>
      </c>
      <c r="K26" s="109">
        <v>0</v>
      </c>
      <c r="L26" s="109">
        <v>0</v>
      </c>
      <c r="M26" s="109">
        <v>0</v>
      </c>
      <c r="N26" s="515">
        <f t="shared" si="5"/>
        <v>2500000</v>
      </c>
      <c r="O26" s="547">
        <f>SUM(C26:N26)</f>
        <v>2500000</v>
      </c>
      <c r="P26" s="389">
        <v>2500000</v>
      </c>
      <c r="Q26" s="109">
        <v>2637500</v>
      </c>
      <c r="R26" s="110">
        <v>2782562.5</v>
      </c>
    </row>
    <row r="27" spans="1:18" ht="12.4" customHeight="1" x14ac:dyDescent="0.25">
      <c r="A27" s="129" t="s">
        <v>745</v>
      </c>
      <c r="B27" s="129"/>
      <c r="C27" s="389">
        <v>0</v>
      </c>
      <c r="D27" s="109">
        <v>0</v>
      </c>
      <c r="E27" s="109">
        <v>0</v>
      </c>
      <c r="F27" s="109">
        <v>0</v>
      </c>
      <c r="G27" s="109">
        <v>0</v>
      </c>
      <c r="H27" s="388">
        <v>0</v>
      </c>
      <c r="I27" s="389">
        <v>0</v>
      </c>
      <c r="J27" s="109">
        <v>0</v>
      </c>
      <c r="K27" s="109">
        <v>0</v>
      </c>
      <c r="L27" s="109">
        <v>0</v>
      </c>
      <c r="M27" s="109">
        <v>0</v>
      </c>
      <c r="N27" s="515">
        <f t="shared" si="5"/>
        <v>0</v>
      </c>
      <c r="O27" s="547">
        <f>SUM(C27:N27)</f>
        <v>0</v>
      </c>
      <c r="P27" s="389"/>
      <c r="Q27" s="109"/>
      <c r="R27" s="110"/>
    </row>
    <row r="28" spans="1:18" ht="12.4" customHeight="1" x14ac:dyDescent="0.25">
      <c r="A28" s="129" t="s">
        <v>746</v>
      </c>
      <c r="B28" s="129"/>
      <c r="C28" s="389">
        <v>0</v>
      </c>
      <c r="D28" s="109">
        <v>0</v>
      </c>
      <c r="E28" s="109">
        <v>0</v>
      </c>
      <c r="F28" s="109">
        <v>40000000</v>
      </c>
      <c r="G28" s="109">
        <v>0</v>
      </c>
      <c r="H28" s="388">
        <v>0</v>
      </c>
      <c r="I28" s="389">
        <v>0</v>
      </c>
      <c r="J28" s="109">
        <v>0</v>
      </c>
      <c r="K28" s="109">
        <v>0</v>
      </c>
      <c r="L28" s="109">
        <v>0</v>
      </c>
      <c r="M28" s="109">
        <v>0</v>
      </c>
      <c r="N28" s="515">
        <f t="shared" si="5"/>
        <v>0</v>
      </c>
      <c r="O28" s="547"/>
      <c r="P28" s="389">
        <v>40000000</v>
      </c>
      <c r="Q28" s="109">
        <v>20000000</v>
      </c>
      <c r="R28" s="110">
        <v>30000000</v>
      </c>
    </row>
    <row r="29" spans="1:18" ht="12.4" customHeight="1" x14ac:dyDescent="0.25">
      <c r="A29" s="597" t="s">
        <v>1140</v>
      </c>
      <c r="B29" s="129"/>
      <c r="C29" s="389">
        <v>8915</v>
      </c>
      <c r="D29" s="109">
        <v>13695</v>
      </c>
      <c r="E29" s="109">
        <v>7085</v>
      </c>
      <c r="F29" s="109">
        <v>12235</v>
      </c>
      <c r="G29" s="109">
        <v>5480</v>
      </c>
      <c r="H29" s="388">
        <v>6940</v>
      </c>
      <c r="I29" s="389">
        <v>127593.2514918376</v>
      </c>
      <c r="J29" s="109">
        <v>61542.569375880979</v>
      </c>
      <c r="K29" s="109">
        <v>58639.617990226216</v>
      </c>
      <c r="L29" s="109">
        <v>65350.558546475171</v>
      </c>
      <c r="M29" s="109">
        <v>58964.065498034688</v>
      </c>
      <c r="N29" s="515">
        <f t="shared" si="5"/>
        <v>673559.93709754525</v>
      </c>
      <c r="O29" s="547"/>
      <c r="P29" s="389">
        <v>1100000</v>
      </c>
      <c r="Q29" s="109">
        <v>1100000</v>
      </c>
      <c r="R29" s="110">
        <v>1100000</v>
      </c>
    </row>
    <row r="30" spans="1:18" ht="12.4" customHeight="1" x14ac:dyDescent="0.25">
      <c r="A30" s="129" t="s">
        <v>735</v>
      </c>
      <c r="B30" s="129"/>
      <c r="C30" s="389">
        <v>0</v>
      </c>
      <c r="D30" s="109">
        <v>0</v>
      </c>
      <c r="E30" s="109">
        <v>0</v>
      </c>
      <c r="F30" s="109">
        <v>0</v>
      </c>
      <c r="G30" s="109">
        <v>0</v>
      </c>
      <c r="H30" s="388">
        <v>0</v>
      </c>
      <c r="I30" s="389">
        <v>0</v>
      </c>
      <c r="J30" s="109">
        <v>0</v>
      </c>
      <c r="K30" s="109">
        <v>0</v>
      </c>
      <c r="L30" s="109">
        <v>0</v>
      </c>
      <c r="M30" s="109">
        <v>0</v>
      </c>
      <c r="N30" s="515">
        <f t="shared" si="5"/>
        <v>0</v>
      </c>
      <c r="O30" s="547"/>
      <c r="P30" s="389"/>
      <c r="Q30" s="109"/>
      <c r="R30" s="110"/>
    </row>
    <row r="31" spans="1:18" ht="12.4" customHeight="1" x14ac:dyDescent="0.25">
      <c r="A31" s="129" t="s">
        <v>740</v>
      </c>
      <c r="B31" s="129"/>
      <c r="C31" s="389">
        <v>0</v>
      </c>
      <c r="D31" s="109">
        <v>0</v>
      </c>
      <c r="E31" s="109">
        <v>0</v>
      </c>
      <c r="F31" s="109">
        <v>0</v>
      </c>
      <c r="G31" s="109">
        <v>0</v>
      </c>
      <c r="H31" s="388">
        <v>0</v>
      </c>
      <c r="I31" s="389">
        <v>0</v>
      </c>
      <c r="J31" s="109">
        <v>0</v>
      </c>
      <c r="K31" s="109">
        <v>0</v>
      </c>
      <c r="L31" s="109">
        <v>0</v>
      </c>
      <c r="M31" s="109">
        <v>0</v>
      </c>
      <c r="N31" s="515">
        <f t="shared" si="5"/>
        <v>0</v>
      </c>
      <c r="O31" s="547"/>
      <c r="P31" s="389"/>
      <c r="Q31" s="109"/>
      <c r="R31" s="110"/>
    </row>
    <row r="32" spans="1:18" ht="12.4" customHeight="1" x14ac:dyDescent="0.25">
      <c r="A32" s="129" t="s">
        <v>741</v>
      </c>
      <c r="B32" s="129"/>
      <c r="C32" s="389">
        <v>0</v>
      </c>
      <c r="D32" s="109">
        <v>0</v>
      </c>
      <c r="E32" s="109">
        <v>0</v>
      </c>
      <c r="F32" s="109">
        <v>0</v>
      </c>
      <c r="G32" s="109">
        <v>0</v>
      </c>
      <c r="H32" s="388">
        <v>0</v>
      </c>
      <c r="I32" s="389">
        <v>0</v>
      </c>
      <c r="J32" s="109">
        <v>0</v>
      </c>
      <c r="K32" s="109">
        <v>0</v>
      </c>
      <c r="L32" s="109">
        <v>0</v>
      </c>
      <c r="M32" s="109">
        <v>0</v>
      </c>
      <c r="N32" s="515">
        <f t="shared" si="5"/>
        <v>-5073000</v>
      </c>
      <c r="O32" s="547"/>
      <c r="P32" s="389">
        <v>-5073000</v>
      </c>
      <c r="Q32" s="109">
        <v>-5744000</v>
      </c>
      <c r="R32" s="110">
        <v>-6508000</v>
      </c>
    </row>
    <row r="33" spans="1:19" ht="12.75" customHeight="1" x14ac:dyDescent="0.25">
      <c r="A33" s="162" t="s">
        <v>462</v>
      </c>
      <c r="B33" s="162"/>
      <c r="C33" s="492">
        <f t="shared" ref="C33:R33" si="6">SUM(C21:C32)</f>
        <v>252708170.90000004</v>
      </c>
      <c r="D33" s="81">
        <f t="shared" si="6"/>
        <v>107407909</v>
      </c>
      <c r="E33" s="81">
        <f t="shared" si="6"/>
        <v>69855672.200000003</v>
      </c>
      <c r="F33" s="81">
        <f t="shared" si="6"/>
        <v>146723930</v>
      </c>
      <c r="G33" s="81">
        <f t="shared" si="6"/>
        <v>76426299</v>
      </c>
      <c r="H33" s="526">
        <f t="shared" si="6"/>
        <v>192876022.38</v>
      </c>
      <c r="I33" s="492">
        <f t="shared" si="6"/>
        <v>59534977.019330248</v>
      </c>
      <c r="J33" s="81">
        <f t="shared" si="6"/>
        <v>60953755.809649698</v>
      </c>
      <c r="K33" s="81">
        <f t="shared" si="6"/>
        <v>159698737.53051445</v>
      </c>
      <c r="L33" s="81">
        <f t="shared" si="6"/>
        <v>56744499.265474789</v>
      </c>
      <c r="M33" s="81">
        <f t="shared" si="6"/>
        <v>101249711.74482949</v>
      </c>
      <c r="N33" s="526">
        <f t="shared" si="6"/>
        <v>-71415111.84979859</v>
      </c>
      <c r="O33" s="568">
        <f t="shared" si="6"/>
        <v>1176737573</v>
      </c>
      <c r="P33" s="492">
        <f t="shared" si="6"/>
        <v>1212764573</v>
      </c>
      <c r="Q33" s="81">
        <f t="shared" si="6"/>
        <v>1265395839.5149999</v>
      </c>
      <c r="R33" s="82">
        <f t="shared" si="6"/>
        <v>1352841600.6883249</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463</v>
      </c>
      <c r="B35" s="129"/>
      <c r="C35" s="240"/>
      <c r="D35" s="75"/>
      <c r="E35" s="75"/>
      <c r="F35" s="75"/>
      <c r="G35" s="75"/>
      <c r="H35" s="515"/>
      <c r="I35" s="240"/>
      <c r="J35" s="75"/>
      <c r="K35" s="75"/>
      <c r="L35" s="75"/>
      <c r="M35" s="75"/>
      <c r="N35" s="515"/>
      <c r="O35" s="547"/>
      <c r="P35" s="240"/>
      <c r="Q35" s="75"/>
      <c r="R35" s="76"/>
    </row>
    <row r="36" spans="1:19" ht="12.4" customHeight="1" x14ac:dyDescent="0.25">
      <c r="A36" s="129" t="s">
        <v>653</v>
      </c>
      <c r="B36" s="129"/>
      <c r="C36" s="389">
        <v>27306560.149999995</v>
      </c>
      <c r="D36" s="109">
        <v>26440040.859999996</v>
      </c>
      <c r="E36" s="109">
        <v>30520466.930000015</v>
      </c>
      <c r="F36" s="109">
        <v>28221713.160000015</v>
      </c>
      <c r="G36" s="109">
        <v>27190684.810000002</v>
      </c>
      <c r="H36" s="388">
        <v>27097056.699999996</v>
      </c>
      <c r="I36" s="389">
        <v>32253066.274529304</v>
      </c>
      <c r="J36" s="109">
        <v>28275658.169179495</v>
      </c>
      <c r="K36" s="109">
        <v>27432056.148367774</v>
      </c>
      <c r="L36" s="109">
        <v>28211982.294371348</v>
      </c>
      <c r="M36" s="109">
        <v>27467755.078834221</v>
      </c>
      <c r="N36" s="515">
        <f t="shared" ref="N36:N45" si="7">P36-SUM(C36:M36)</f>
        <v>37234044.424717844</v>
      </c>
      <c r="O36" s="547">
        <f t="shared" ref="O36:O41" si="8">SUM(C36:N36)</f>
        <v>347651085</v>
      </c>
      <c r="P36" s="389">
        <v>347651085</v>
      </c>
      <c r="Q36" s="109">
        <v>366815024.67500001</v>
      </c>
      <c r="R36" s="110">
        <v>387040591.032125</v>
      </c>
    </row>
    <row r="37" spans="1:19" ht="12.4" customHeight="1" x14ac:dyDescent="0.25">
      <c r="A37" s="129" t="s">
        <v>564</v>
      </c>
      <c r="B37" s="129"/>
      <c r="C37" s="389">
        <v>2111379.42</v>
      </c>
      <c r="D37" s="109">
        <v>2110517.75</v>
      </c>
      <c r="E37" s="109">
        <v>2109693.7599999998</v>
      </c>
      <c r="F37" s="109">
        <v>2108917.29</v>
      </c>
      <c r="G37" s="109">
        <v>2109259.9900000002</v>
      </c>
      <c r="H37" s="388">
        <v>2112675.11</v>
      </c>
      <c r="I37" s="389">
        <v>2225526.6235076361</v>
      </c>
      <c r="J37" s="109">
        <v>2390007.8351592994</v>
      </c>
      <c r="K37" s="109">
        <v>2353266.5826243483</v>
      </c>
      <c r="L37" s="109">
        <v>2338174.7829936384</v>
      </c>
      <c r="M37" s="109">
        <v>2375954.5010814914</v>
      </c>
      <c r="N37" s="515">
        <f t="shared" si="7"/>
        <v>3079778.3546335883</v>
      </c>
      <c r="O37" s="547">
        <f t="shared" si="8"/>
        <v>27425152</v>
      </c>
      <c r="P37" s="389">
        <v>27425152</v>
      </c>
      <c r="Q37" s="109">
        <v>28933535.360000003</v>
      </c>
      <c r="R37" s="110">
        <v>30524879.8048</v>
      </c>
    </row>
    <row r="38" spans="1:19" ht="12.4" customHeight="1" x14ac:dyDescent="0.25">
      <c r="A38" s="129" t="s">
        <v>566</v>
      </c>
      <c r="B38" s="129"/>
      <c r="C38" s="389">
        <v>183810.31999999998</v>
      </c>
      <c r="D38" s="109">
        <v>182913</v>
      </c>
      <c r="E38" s="109">
        <v>552089.25</v>
      </c>
      <c r="F38" s="109">
        <v>2009770.98</v>
      </c>
      <c r="G38" s="109">
        <v>0</v>
      </c>
      <c r="H38" s="388">
        <v>1823594.51</v>
      </c>
      <c r="I38" s="389">
        <v>0</v>
      </c>
      <c r="J38" s="109">
        <v>0</v>
      </c>
      <c r="K38" s="109">
        <v>0</v>
      </c>
      <c r="L38" s="109">
        <v>0</v>
      </c>
      <c r="M38" s="109">
        <v>0</v>
      </c>
      <c r="N38" s="515">
        <f t="shared" si="7"/>
        <v>19696378.940000001</v>
      </c>
      <c r="O38" s="547">
        <f t="shared" si="8"/>
        <v>24448557</v>
      </c>
      <c r="P38" s="389">
        <v>24448557</v>
      </c>
      <c r="Q38" s="109">
        <v>25903227.635000002</v>
      </c>
      <c r="R38" s="110">
        <v>27437905.154925</v>
      </c>
    </row>
    <row r="39" spans="1:19" ht="12.4" customHeight="1" x14ac:dyDescent="0.25">
      <c r="A39" s="129" t="s">
        <v>464</v>
      </c>
      <c r="B39" s="129"/>
      <c r="C39" s="389">
        <v>37791218</v>
      </c>
      <c r="D39" s="109">
        <v>38677952.289999999</v>
      </c>
      <c r="E39" s="109">
        <v>246081.12</v>
      </c>
      <c r="F39" s="109">
        <v>14632485.530000001</v>
      </c>
      <c r="G39" s="109">
        <v>27051196.91</v>
      </c>
      <c r="H39" s="388">
        <v>69891648.800000012</v>
      </c>
      <c r="I39" s="389">
        <v>21890274.230745934</v>
      </c>
      <c r="J39" s="109">
        <v>24072304.547855221</v>
      </c>
      <c r="K39" s="109">
        <v>23866633.654606763</v>
      </c>
      <c r="L39" s="109">
        <v>23164748.606075179</v>
      </c>
      <c r="M39" s="109">
        <v>20119585.700133562</v>
      </c>
      <c r="N39" s="515">
        <f t="shared" si="7"/>
        <v>38595870.610583305</v>
      </c>
      <c r="O39" s="547">
        <f t="shared" si="8"/>
        <v>340000000</v>
      </c>
      <c r="P39" s="389">
        <v>340000000</v>
      </c>
      <c r="Q39" s="109">
        <v>358700000</v>
      </c>
      <c r="R39" s="110">
        <v>378428500</v>
      </c>
    </row>
    <row r="40" spans="1:19" ht="12.4" customHeight="1" x14ac:dyDescent="0.25">
      <c r="A40" s="129" t="s">
        <v>465</v>
      </c>
      <c r="B40" s="129"/>
      <c r="C40" s="389"/>
      <c r="D40" s="109">
        <v>474267.86</v>
      </c>
      <c r="E40" s="109">
        <v>402056.05</v>
      </c>
      <c r="F40" s="109">
        <v>567423.1</v>
      </c>
      <c r="G40" s="109">
        <v>527969.01</v>
      </c>
      <c r="H40" s="388">
        <v>146449.53</v>
      </c>
      <c r="I40" s="389"/>
      <c r="J40" s="109"/>
      <c r="K40" s="109"/>
      <c r="L40" s="109"/>
      <c r="M40" s="109"/>
      <c r="N40" s="515">
        <f t="shared" si="7"/>
        <v>-2118165.5499999998</v>
      </c>
      <c r="O40" s="547">
        <f t="shared" si="8"/>
        <v>0</v>
      </c>
      <c r="P40" s="389"/>
      <c r="Q40" s="109"/>
      <c r="R40" s="110"/>
    </row>
    <row r="41" spans="1:19" ht="12.4" customHeight="1" x14ac:dyDescent="0.25">
      <c r="A41" s="30" t="s">
        <v>656</v>
      </c>
      <c r="B41" s="129"/>
      <c r="C41" s="389">
        <v>1530894.4</v>
      </c>
      <c r="D41" s="109">
        <v>4882429.6100000003</v>
      </c>
      <c r="E41" s="109">
        <v>2486911.3499999996</v>
      </c>
      <c r="F41" s="109">
        <v>5660814.3799999999</v>
      </c>
      <c r="G41" s="109">
        <v>5292671.63</v>
      </c>
      <c r="H41" s="388">
        <v>7615318.7200000007</v>
      </c>
      <c r="I41" s="389">
        <v>5198728.3649737332</v>
      </c>
      <c r="J41" s="109">
        <v>1923713.2126022312</v>
      </c>
      <c r="K41" s="109">
        <v>8891371.8750158101</v>
      </c>
      <c r="L41" s="109">
        <v>2471640.7039625663</v>
      </c>
      <c r="M41" s="109">
        <v>2744722.652108876</v>
      </c>
      <c r="N41" s="515">
        <f t="shared" si="7"/>
        <v>2480907.7213367969</v>
      </c>
      <c r="O41" s="547">
        <f t="shared" si="8"/>
        <v>51180124.620000005</v>
      </c>
      <c r="P41" s="389">
        <v>51180124.620000005</v>
      </c>
      <c r="Q41" s="109">
        <v>53995031.474099964</v>
      </c>
      <c r="R41" s="110">
        <v>56964758.205175549</v>
      </c>
      <c r="S41" s="168"/>
    </row>
    <row r="42" spans="1:19" ht="12.4" customHeight="1" x14ac:dyDescent="0.25">
      <c r="A42" s="30" t="s">
        <v>657</v>
      </c>
      <c r="B42" s="129"/>
      <c r="C42" s="389">
        <v>4195025.6900000004</v>
      </c>
      <c r="D42" s="109">
        <v>5302111.3500000006</v>
      </c>
      <c r="E42" s="109">
        <v>3920929.1</v>
      </c>
      <c r="F42" s="109">
        <v>3815125.3099999996</v>
      </c>
      <c r="G42" s="109">
        <v>3765306.68</v>
      </c>
      <c r="H42" s="388">
        <v>5256798.1099999994</v>
      </c>
      <c r="I42" s="389">
        <v>4021409.5793039319</v>
      </c>
      <c r="J42" s="109">
        <v>1909989.4976670297</v>
      </c>
      <c r="K42" s="109">
        <v>6038936.9054020625</v>
      </c>
      <c r="L42" s="109">
        <v>1649363.8008204186</v>
      </c>
      <c r="M42" s="109">
        <v>5596579.4974230956</v>
      </c>
      <c r="N42" s="515">
        <f t="shared" si="7"/>
        <v>9097796.4793834612</v>
      </c>
      <c r="O42" s="547"/>
      <c r="P42" s="389">
        <v>54569372</v>
      </c>
      <c r="Q42" s="109">
        <v>57567022.460000001</v>
      </c>
      <c r="R42" s="110">
        <v>60736223.695299998</v>
      </c>
      <c r="S42" s="168"/>
    </row>
    <row r="43" spans="1:19" ht="12.4" customHeight="1" x14ac:dyDescent="0.25">
      <c r="A43" s="30" t="s">
        <v>1481</v>
      </c>
      <c r="B43" s="129"/>
      <c r="C43" s="389"/>
      <c r="D43" s="109">
        <v>0</v>
      </c>
      <c r="E43" s="109">
        <v>0</v>
      </c>
      <c r="F43" s="109">
        <v>0</v>
      </c>
      <c r="G43" s="109">
        <v>0</v>
      </c>
      <c r="H43" s="388">
        <v>0</v>
      </c>
      <c r="I43" s="389">
        <v>0</v>
      </c>
      <c r="J43" s="109">
        <v>0</v>
      </c>
      <c r="K43" s="109">
        <v>0</v>
      </c>
      <c r="L43" s="109">
        <v>0</v>
      </c>
      <c r="M43" s="109">
        <v>0</v>
      </c>
      <c r="N43" s="515">
        <f t="shared" si="7"/>
        <v>0</v>
      </c>
      <c r="O43" s="547">
        <f>SUM(C43:N43)</f>
        <v>0</v>
      </c>
      <c r="P43" s="389"/>
      <c r="Q43" s="109"/>
      <c r="R43" s="110"/>
    </row>
    <row r="44" spans="1:19" ht="12.4" customHeight="1" x14ac:dyDescent="0.25">
      <c r="A44" s="30" t="s">
        <v>1482</v>
      </c>
      <c r="B44" s="129"/>
      <c r="C44" s="389">
        <v>65452.73</v>
      </c>
      <c r="D44" s="109">
        <v>367561.66000000003</v>
      </c>
      <c r="E44" s="109">
        <v>1414359.63</v>
      </c>
      <c r="F44" s="109">
        <v>2124795.29</v>
      </c>
      <c r="G44" s="109">
        <v>1344127.3399999999</v>
      </c>
      <c r="H44" s="388">
        <v>1054698.03</v>
      </c>
      <c r="I44" s="389">
        <v>717080.44447840459</v>
      </c>
      <c r="J44" s="109">
        <v>2904155.3381553148</v>
      </c>
      <c r="K44" s="109">
        <v>905006.99962622672</v>
      </c>
      <c r="L44" s="109">
        <v>3174152.389104343</v>
      </c>
      <c r="M44" s="109">
        <v>5148274.1936949231</v>
      </c>
      <c r="N44" s="515">
        <f t="shared" si="7"/>
        <v>11585008.954940788</v>
      </c>
      <c r="O44" s="547"/>
      <c r="P44" s="389">
        <v>30804673</v>
      </c>
      <c r="Q44" s="109">
        <v>25695545.015000001</v>
      </c>
      <c r="R44" s="110">
        <v>22613584.990825001</v>
      </c>
    </row>
    <row r="45" spans="1:19" ht="12.4" customHeight="1" x14ac:dyDescent="0.25">
      <c r="A45" s="30" t="s">
        <v>569</v>
      </c>
      <c r="B45" s="129"/>
      <c r="C45" s="389">
        <v>23895153</v>
      </c>
      <c r="D45" s="109">
        <v>60583554.759999998</v>
      </c>
      <c r="E45" s="109">
        <v>9286218.8599999994</v>
      </c>
      <c r="F45" s="109">
        <v>99723345</v>
      </c>
      <c r="G45" s="109">
        <v>28529365</v>
      </c>
      <c r="H45" s="388">
        <v>28882842</v>
      </c>
      <c r="I45" s="389">
        <v>11284874.509506661</v>
      </c>
      <c r="J45" s="109">
        <v>12056186.357651759</v>
      </c>
      <c r="K45" s="109">
        <v>9314122.7478763461</v>
      </c>
      <c r="L45" s="109">
        <v>28845568.536531892</v>
      </c>
      <c r="M45" s="109">
        <v>11490027.725897454</v>
      </c>
      <c r="N45" s="515">
        <f t="shared" si="7"/>
        <v>-142875993.87746406</v>
      </c>
      <c r="O45" s="547">
        <f>SUM(C45:N45)</f>
        <v>181015264.62</v>
      </c>
      <c r="P45" s="389">
        <f>181130661.62-115397</f>
        <v>181015264.62</v>
      </c>
      <c r="Q45" s="109">
        <v>211302147.00909999</v>
      </c>
      <c r="R45" s="110">
        <v>224950746.09459999</v>
      </c>
    </row>
    <row r="46" spans="1:19" ht="12.75" customHeight="1" x14ac:dyDescent="0.25">
      <c r="A46" s="548" t="s">
        <v>463</v>
      </c>
      <c r="B46" s="548"/>
      <c r="C46" s="303">
        <f t="shared" ref="C46:R46" si="9">SUM(C36:C45)</f>
        <v>97079493.709999993</v>
      </c>
      <c r="D46" s="151">
        <f t="shared" si="9"/>
        <v>139021349.13999999</v>
      </c>
      <c r="E46" s="151">
        <f t="shared" si="9"/>
        <v>50938806.050000019</v>
      </c>
      <c r="F46" s="151">
        <f t="shared" si="9"/>
        <v>158864390.04000002</v>
      </c>
      <c r="G46" s="151">
        <f t="shared" si="9"/>
        <v>95810581.370000005</v>
      </c>
      <c r="H46" s="528">
        <f t="shared" si="9"/>
        <v>143881081.50999999</v>
      </c>
      <c r="I46" s="303">
        <f t="shared" si="9"/>
        <v>77590960.027045608</v>
      </c>
      <c r="J46" s="151">
        <f t="shared" si="9"/>
        <v>73532014.958270341</v>
      </c>
      <c r="K46" s="151">
        <f t="shared" si="9"/>
        <v>78801394.913519323</v>
      </c>
      <c r="L46" s="151">
        <f t="shared" si="9"/>
        <v>89855631.113859385</v>
      </c>
      <c r="M46" s="151">
        <f t="shared" si="9"/>
        <v>74942899.349173635</v>
      </c>
      <c r="N46" s="528">
        <f t="shared" si="9"/>
        <v>-23224373.941868275</v>
      </c>
      <c r="O46" s="549">
        <f t="shared" si="9"/>
        <v>971720183.24000001</v>
      </c>
      <c r="P46" s="303">
        <f t="shared" si="9"/>
        <v>1057094228.24</v>
      </c>
      <c r="Q46" s="151">
        <f t="shared" si="9"/>
        <v>1128911533.6282001</v>
      </c>
      <c r="R46" s="152">
        <f t="shared" si="9"/>
        <v>1188697188.9777505</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466</v>
      </c>
      <c r="B48" s="85"/>
      <c r="C48" s="240"/>
      <c r="D48" s="75"/>
      <c r="E48" s="75"/>
      <c r="F48" s="75"/>
      <c r="G48" s="75"/>
      <c r="H48" s="515"/>
      <c r="I48" s="240"/>
      <c r="J48" s="75"/>
      <c r="K48" s="75"/>
      <c r="L48" s="75"/>
      <c r="M48" s="75"/>
      <c r="N48" s="515"/>
      <c r="O48" s="547"/>
      <c r="P48" s="240"/>
      <c r="Q48" s="75"/>
      <c r="R48" s="76"/>
    </row>
    <row r="49" spans="1:18" ht="12.4" customHeight="1" x14ac:dyDescent="0.25">
      <c r="A49" s="30" t="s">
        <v>742</v>
      </c>
      <c r="B49" s="129"/>
      <c r="C49" s="389">
        <v>19231011.369999997</v>
      </c>
      <c r="D49" s="109">
        <v>7413792.5200000005</v>
      </c>
      <c r="E49" s="109">
        <v>5606695.8200000003</v>
      </c>
      <c r="F49" s="109">
        <v>5872546.5199999996</v>
      </c>
      <c r="G49" s="109">
        <v>4185356.82</v>
      </c>
      <c r="H49" s="388">
        <v>7353836.1899999995</v>
      </c>
      <c r="I49" s="389">
        <v>13844635.080664033</v>
      </c>
      <c r="J49" s="109">
        <v>16666177.566802301</v>
      </c>
      <c r="K49" s="109">
        <v>25775620.055900447</v>
      </c>
      <c r="L49" s="109">
        <v>19037006.04589317</v>
      </c>
      <c r="M49" s="109">
        <v>17508646.945500959</v>
      </c>
      <c r="N49" s="515">
        <f>P49-SUM(C49:M49)</f>
        <v>2938925.0652391016</v>
      </c>
      <c r="O49" s="547">
        <f>SUM(C49:N49)</f>
        <v>145434250</v>
      </c>
      <c r="P49" s="389">
        <f>195434250-50000000</f>
        <v>145434250</v>
      </c>
      <c r="Q49" s="109">
        <f>134784850-10000000</f>
        <v>124784850</v>
      </c>
      <c r="R49" s="110">
        <v>139902500</v>
      </c>
    </row>
    <row r="50" spans="1:18" ht="12.4" customHeight="1" x14ac:dyDescent="0.25">
      <c r="A50" s="30" t="s">
        <v>747</v>
      </c>
      <c r="B50" s="129"/>
      <c r="C50" s="389">
        <v>135896.66</v>
      </c>
      <c r="D50" s="109">
        <v>136793.98000000001</v>
      </c>
      <c r="E50" s="109">
        <v>143453.32999999999</v>
      </c>
      <c r="F50" s="109">
        <v>138341.49</v>
      </c>
      <c r="G50" s="109">
        <v>0</v>
      </c>
      <c r="H50" s="388">
        <v>5176202</v>
      </c>
      <c r="I50" s="389">
        <v>211048.07716387531</v>
      </c>
      <c r="J50" s="109">
        <v>191646.57056895344</v>
      </c>
      <c r="K50" s="109">
        <v>14666.421718901423</v>
      </c>
      <c r="L50" s="109">
        <v>742795.55094349198</v>
      </c>
      <c r="M50" s="109">
        <v>1471470.6008232012</v>
      </c>
      <c r="N50" s="515">
        <f>P50-SUM(C50:M50)</f>
        <v>2694529.2487815879</v>
      </c>
      <c r="O50" s="547">
        <f>SUM(C50:N50)</f>
        <v>11056843.930000011</v>
      </c>
      <c r="P50" s="389">
        <v>11056843.930000011</v>
      </c>
      <c r="Q50" s="109">
        <v>10783836.87847502</v>
      </c>
      <c r="R50" s="110">
        <v>14414838.600049101</v>
      </c>
    </row>
    <row r="51" spans="1:18" ht="12.4" customHeight="1" x14ac:dyDescent="0.25">
      <c r="A51" s="30" t="s">
        <v>467</v>
      </c>
      <c r="B51" s="129"/>
      <c r="C51" s="389"/>
      <c r="D51" s="109"/>
      <c r="E51" s="109"/>
      <c r="F51" s="109">
        <v>45000000</v>
      </c>
      <c r="G51" s="109"/>
      <c r="H51" s="388"/>
      <c r="I51" s="389"/>
      <c r="J51" s="109"/>
      <c r="K51" s="109"/>
      <c r="L51" s="109"/>
      <c r="M51" s="109"/>
      <c r="N51" s="515">
        <f>P51-SUM(C51:M51)</f>
        <v>-45000000</v>
      </c>
      <c r="O51" s="547">
        <f>SUM(C51:N51)</f>
        <v>0</v>
      </c>
      <c r="P51" s="389"/>
      <c r="Q51" s="109"/>
      <c r="R51" s="110"/>
    </row>
    <row r="52" spans="1:18" ht="12.75" customHeight="1" x14ac:dyDescent="0.25">
      <c r="A52" s="571" t="s">
        <v>468</v>
      </c>
      <c r="B52" s="571"/>
      <c r="C52" s="303">
        <f t="shared" ref="C52:R52" si="10">SUM(C46:C51)</f>
        <v>116446401.73999998</v>
      </c>
      <c r="D52" s="151">
        <f t="shared" si="10"/>
        <v>146571935.63999999</v>
      </c>
      <c r="E52" s="151">
        <f t="shared" si="10"/>
        <v>56688955.200000018</v>
      </c>
      <c r="F52" s="151">
        <f t="shared" si="10"/>
        <v>209875278.05000004</v>
      </c>
      <c r="G52" s="151">
        <f t="shared" si="10"/>
        <v>99995938.189999998</v>
      </c>
      <c r="H52" s="528">
        <f t="shared" si="10"/>
        <v>156411119.69999999</v>
      </c>
      <c r="I52" s="303">
        <f t="shared" si="10"/>
        <v>91646643.184873521</v>
      </c>
      <c r="J52" s="151">
        <f t="shared" si="10"/>
        <v>90389839.095641583</v>
      </c>
      <c r="K52" s="151">
        <f t="shared" si="10"/>
        <v>104591681.39113867</v>
      </c>
      <c r="L52" s="151">
        <f t="shared" si="10"/>
        <v>109635432.71069604</v>
      </c>
      <c r="M52" s="151">
        <f t="shared" si="10"/>
        <v>93923016.895497799</v>
      </c>
      <c r="N52" s="528">
        <f t="shared" si="10"/>
        <v>-62590919.627847582</v>
      </c>
      <c r="O52" s="549">
        <f t="shared" si="10"/>
        <v>1128211277.1700001</v>
      </c>
      <c r="P52" s="303">
        <f t="shared" si="10"/>
        <v>1213585322.1700001</v>
      </c>
      <c r="Q52" s="151">
        <f t="shared" si="10"/>
        <v>1264480220.506675</v>
      </c>
      <c r="R52" s="152">
        <f t="shared" si="10"/>
        <v>1343014527.5777996</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469</v>
      </c>
      <c r="B54" s="842"/>
      <c r="C54" s="236">
        <f t="shared" ref="C54:R54" si="11">C33-C52</f>
        <v>136261769.16000006</v>
      </c>
      <c r="D54" s="237">
        <f t="shared" si="11"/>
        <v>-39164026.639999986</v>
      </c>
      <c r="E54" s="237">
        <f t="shared" si="11"/>
        <v>13166716.999999985</v>
      </c>
      <c r="F54" s="237">
        <f t="shared" si="11"/>
        <v>-63151348.050000042</v>
      </c>
      <c r="G54" s="237">
        <f t="shared" si="11"/>
        <v>-23569639.189999998</v>
      </c>
      <c r="H54" s="525">
        <f t="shared" si="11"/>
        <v>36464902.680000007</v>
      </c>
      <c r="I54" s="236">
        <f t="shared" si="11"/>
        <v>-32111666.165543273</v>
      </c>
      <c r="J54" s="237">
        <f t="shared" si="11"/>
        <v>-29436083.285991885</v>
      </c>
      <c r="K54" s="237">
        <f t="shared" si="11"/>
        <v>55107056.139375776</v>
      </c>
      <c r="L54" s="237">
        <f t="shared" si="11"/>
        <v>-52890933.445221253</v>
      </c>
      <c r="M54" s="237">
        <f t="shared" si="11"/>
        <v>7326694.8493316919</v>
      </c>
      <c r="N54" s="525">
        <f t="shared" si="11"/>
        <v>-8824192.2219510078</v>
      </c>
      <c r="O54" s="574">
        <f t="shared" si="11"/>
        <v>48526295.829999924</v>
      </c>
      <c r="P54" s="236">
        <f t="shared" si="11"/>
        <v>-820749.17000007629</v>
      </c>
      <c r="Q54" s="237">
        <f t="shared" si="11"/>
        <v>915619.00832486153</v>
      </c>
      <c r="R54" s="238">
        <f t="shared" si="11"/>
        <v>9827073.1105253696</v>
      </c>
    </row>
    <row r="55" spans="1:18" ht="12.4" customHeight="1" x14ac:dyDescent="0.25">
      <c r="A55" s="30" t="s">
        <v>470</v>
      </c>
      <c r="B55" s="129"/>
      <c r="C55" s="389">
        <v>7490665</v>
      </c>
      <c r="D55" s="75">
        <f t="shared" ref="D55:N55" si="12">C56</f>
        <v>143752434.16000006</v>
      </c>
      <c r="E55" s="75">
        <f t="shared" si="12"/>
        <v>104588407.52000007</v>
      </c>
      <c r="F55" s="75">
        <f t="shared" si="12"/>
        <v>117755124.52000006</v>
      </c>
      <c r="G55" s="75">
        <f t="shared" si="12"/>
        <v>54603776.470000014</v>
      </c>
      <c r="H55" s="515">
        <f t="shared" si="12"/>
        <v>31034137.280000016</v>
      </c>
      <c r="I55" s="240">
        <f t="shared" si="12"/>
        <v>67499039.960000023</v>
      </c>
      <c r="J55" s="75">
        <f t="shared" si="12"/>
        <v>35387373.79445675</v>
      </c>
      <c r="K55" s="75">
        <f t="shared" si="12"/>
        <v>5951290.5084648654</v>
      </c>
      <c r="L55" s="75">
        <f t="shared" si="12"/>
        <v>61058346.647840641</v>
      </c>
      <c r="M55" s="75">
        <f t="shared" si="12"/>
        <v>8167413.2026193887</v>
      </c>
      <c r="N55" s="515">
        <f t="shared" si="12"/>
        <v>15494108.051951081</v>
      </c>
      <c r="O55" s="547"/>
      <c r="P55" s="240">
        <f>C55</f>
        <v>7490665</v>
      </c>
      <c r="Q55" s="75">
        <f>P56</f>
        <v>6669915.8299999237</v>
      </c>
      <c r="R55" s="76">
        <f>Q56</f>
        <v>7585534.8383247852</v>
      </c>
    </row>
    <row r="56" spans="1:18" ht="12.4" customHeight="1" x14ac:dyDescent="0.25">
      <c r="A56" s="575" t="s">
        <v>471</v>
      </c>
      <c r="B56" s="175"/>
      <c r="C56" s="576">
        <f t="shared" ref="C56:N56" si="13">C54+C55</f>
        <v>143752434.16000006</v>
      </c>
      <c r="D56" s="177">
        <f t="shared" si="13"/>
        <v>104588407.52000007</v>
      </c>
      <c r="E56" s="177">
        <f t="shared" si="13"/>
        <v>117755124.52000006</v>
      </c>
      <c r="F56" s="177">
        <f t="shared" si="13"/>
        <v>54603776.470000014</v>
      </c>
      <c r="G56" s="177">
        <f t="shared" si="13"/>
        <v>31034137.280000016</v>
      </c>
      <c r="H56" s="577">
        <f t="shared" si="13"/>
        <v>67499039.960000023</v>
      </c>
      <c r="I56" s="576">
        <f t="shared" si="13"/>
        <v>35387373.79445675</v>
      </c>
      <c r="J56" s="177">
        <f t="shared" si="13"/>
        <v>5951290.5084648654</v>
      </c>
      <c r="K56" s="177">
        <f t="shared" si="13"/>
        <v>61058346.647840641</v>
      </c>
      <c r="L56" s="177">
        <f t="shared" si="13"/>
        <v>8167413.2026193887</v>
      </c>
      <c r="M56" s="177">
        <f t="shared" si="13"/>
        <v>15494108.051951081</v>
      </c>
      <c r="N56" s="577">
        <f t="shared" si="13"/>
        <v>6669915.8300000727</v>
      </c>
      <c r="O56" s="578"/>
      <c r="P56" s="576">
        <f>P54+P55</f>
        <v>6669915.8299999237</v>
      </c>
      <c r="Q56" s="177">
        <f>Q54+Q55</f>
        <v>7585534.8383247852</v>
      </c>
      <c r="R56" s="178">
        <f>R54+R55</f>
        <v>17412607.948850155</v>
      </c>
    </row>
    <row r="57" spans="1:18" ht="10.5" customHeight="1" x14ac:dyDescent="0.25">
      <c r="A57" s="651" t="s">
        <v>519</v>
      </c>
    </row>
    <row r="58" spans="1:18" ht="10.5" customHeight="1" x14ac:dyDescent="0.25">
      <c r="A58" s="120" t="s">
        <v>739</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158864390.04000002</v>
      </c>
      <c r="G63" s="168">
        <f t="shared" si="14"/>
        <v>95810581.370000005</v>
      </c>
      <c r="H63" s="168">
        <f t="shared" si="14"/>
        <v>143881081.50999999</v>
      </c>
      <c r="I63" s="168">
        <f t="shared" si="14"/>
        <v>77590960.027045608</v>
      </c>
      <c r="J63" s="168">
        <f t="shared" si="14"/>
        <v>73532014.958270341</v>
      </c>
      <c r="K63" s="168">
        <f t="shared" si="14"/>
        <v>78801394.913519323</v>
      </c>
      <c r="L63" s="168">
        <f t="shared" si="14"/>
        <v>89855631.113859385</v>
      </c>
      <c r="M63" s="168">
        <f t="shared" si="14"/>
        <v>74942899.349173635</v>
      </c>
      <c r="N63" s="168">
        <f t="shared" si="14"/>
        <v>-23224373.941868275</v>
      </c>
      <c r="O63" s="168">
        <f t="shared" si="14"/>
        <v>971720183.24000001</v>
      </c>
      <c r="P63" s="168">
        <f t="shared" si="14"/>
        <v>1057094228.24</v>
      </c>
      <c r="Q63" s="168">
        <f t="shared" si="14"/>
        <v>1128911533.6282001</v>
      </c>
      <c r="R63" s="168">
        <f t="shared" si="14"/>
        <v>1188697188.9777505</v>
      </c>
    </row>
    <row r="64" spans="1:18" x14ac:dyDescent="0.25">
      <c r="F64" s="168">
        <f t="shared" ref="F64:R64" si="15">F54-F62</f>
        <v>-63151348.050000042</v>
      </c>
      <c r="G64" s="168">
        <f t="shared" si="15"/>
        <v>-23569639.189999998</v>
      </c>
      <c r="H64" s="168">
        <f t="shared" si="15"/>
        <v>36464902.680000007</v>
      </c>
      <c r="I64" s="168">
        <f t="shared" si="15"/>
        <v>-32111666.165543273</v>
      </c>
      <c r="J64" s="168">
        <f t="shared" si="15"/>
        <v>-29436083.285991885</v>
      </c>
      <c r="K64" s="168">
        <f t="shared" si="15"/>
        <v>55107056.139375776</v>
      </c>
      <c r="L64" s="168">
        <f t="shared" si="15"/>
        <v>-52890933.445221253</v>
      </c>
      <c r="M64" s="168">
        <f t="shared" si="15"/>
        <v>7326694.8493316919</v>
      </c>
      <c r="N64" s="168">
        <f t="shared" si="15"/>
        <v>-8824192.2219510078</v>
      </c>
      <c r="O64" s="168">
        <f t="shared" si="15"/>
        <v>48526295.829999924</v>
      </c>
      <c r="P64" s="168">
        <f t="shared" si="15"/>
        <v>-820749.17000007629</v>
      </c>
      <c r="Q64" s="168">
        <f t="shared" si="15"/>
        <v>915619.00832486153</v>
      </c>
      <c r="R64" s="168">
        <f t="shared" si="15"/>
        <v>9827073.1105253696</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P30" sqref="P30"/>
    </sheetView>
  </sheetViews>
  <sheetFormatPr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LIM333 Greater Tzaneen - Supporting Table SB16 Adjustments Budget - monthly capital expenditure (municipal vote) - 27/02/2019</v>
      </c>
      <c r="B1" s="57"/>
      <c r="D1" s="58"/>
    </row>
    <row r="2" spans="1:19" ht="25.5" x14ac:dyDescent="0.25">
      <c r="A2" s="1398" t="str">
        <f>desc&amp;" - Municipal Vote"</f>
        <v>Description - Municipal Vote</v>
      </c>
      <c r="B2" s="1393" t="str">
        <f>head27</f>
        <v>Ref</v>
      </c>
      <c r="C2" s="579" t="str">
        <f>Head2</f>
        <v>Budget Year 2018/19</v>
      </c>
      <c r="D2" s="536"/>
      <c r="E2" s="536"/>
      <c r="F2" s="536"/>
      <c r="G2" s="536"/>
      <c r="H2" s="536"/>
      <c r="I2" s="536"/>
      <c r="J2" s="536"/>
      <c r="K2" s="536"/>
      <c r="L2" s="536"/>
      <c r="M2" s="536"/>
      <c r="N2" s="536"/>
      <c r="O2" s="534"/>
      <c r="P2" s="535" t="s">
        <v>227</v>
      </c>
      <c r="Q2" s="536"/>
      <c r="R2" s="537"/>
    </row>
    <row r="3" spans="1:19"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9" ht="25.5" x14ac:dyDescent="0.25">
      <c r="A4" s="542" t="s">
        <v>605</v>
      </c>
      <c r="B4" s="104"/>
      <c r="C4" s="820"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3"/>
      <c r="P4" s="544" t="str">
        <f>Head7</f>
        <v>Adjusted Budget</v>
      </c>
      <c r="Q4" s="545" t="str">
        <f>Head7</f>
        <v>Adjusted Budget</v>
      </c>
      <c r="R4" s="546" t="str">
        <f>Head7</f>
        <v>Adjusted Budget</v>
      </c>
    </row>
    <row r="5" spans="1:19" ht="12.75" customHeight="1" x14ac:dyDescent="0.25">
      <c r="A5" s="514" t="s">
        <v>1102</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Municipal Manager</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Planning &amp; Economic Development</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Financial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Corporate Services</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Community Services</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Community Services</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Electrical Engineering Services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Engineering Services</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61" t="s">
        <v>472</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1103</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Municipal Manager</v>
      </c>
      <c r="B24" s="129"/>
      <c r="C24" s="389">
        <v>0</v>
      </c>
      <c r="D24" s="109">
        <v>6059</v>
      </c>
      <c r="E24" s="109">
        <v>0</v>
      </c>
      <c r="F24" s="109">
        <v>0</v>
      </c>
      <c r="G24" s="109">
        <v>0</v>
      </c>
      <c r="H24" s="388">
        <v>0</v>
      </c>
      <c r="I24" s="389"/>
      <c r="J24" s="109"/>
      <c r="K24" s="109"/>
      <c r="L24" s="109"/>
      <c r="M24" s="109"/>
      <c r="N24" s="515">
        <f t="shared" ref="N24:N38" si="5">P24-SUM(C24:M24)</f>
        <v>0</v>
      </c>
      <c r="O24" s="547"/>
      <c r="P24" s="240">
        <f>'B5-Capex'!K26</f>
        <v>6059</v>
      </c>
      <c r="Q24" s="75">
        <f>'B5-Capex'!L26</f>
        <v>0</v>
      </c>
      <c r="R24" s="76">
        <f>'B5-Capex'!M26</f>
        <v>0</v>
      </c>
      <c r="S24" s="128"/>
    </row>
    <row r="25" spans="1:19" ht="12.75" customHeight="1" x14ac:dyDescent="0.25">
      <c r="A25" s="129" t="str">
        <f t="shared" si="4"/>
        <v>Vote 2 - Planning &amp; Economic Development</v>
      </c>
      <c r="B25" s="129"/>
      <c r="C25" s="389">
        <v>0</v>
      </c>
      <c r="D25" s="109">
        <v>9740.6</v>
      </c>
      <c r="E25" s="109">
        <v>0</v>
      </c>
      <c r="F25" s="109">
        <v>0</v>
      </c>
      <c r="G25" s="109">
        <v>4150</v>
      </c>
      <c r="H25" s="388">
        <v>0</v>
      </c>
      <c r="I25" s="389"/>
      <c r="J25" s="109"/>
      <c r="K25" s="109"/>
      <c r="L25" s="109"/>
      <c r="M25" s="109"/>
      <c r="N25" s="515">
        <f t="shared" si="5"/>
        <v>0.3999999999996362</v>
      </c>
      <c r="O25" s="547"/>
      <c r="P25" s="240">
        <f>'B5-Capex'!K27</f>
        <v>13891</v>
      </c>
      <c r="Q25" s="75">
        <f>'B5-Capex'!L27</f>
        <v>0</v>
      </c>
      <c r="R25" s="76">
        <f>'B5-Capex'!M27</f>
        <v>0</v>
      </c>
      <c r="S25" s="128"/>
    </row>
    <row r="26" spans="1:19" ht="12.75" customHeight="1" x14ac:dyDescent="0.25">
      <c r="A26" s="129" t="str">
        <f t="shared" si="4"/>
        <v>Vote 3 - Financial Services</v>
      </c>
      <c r="B26" s="129"/>
      <c r="C26" s="389">
        <v>1530.68</v>
      </c>
      <c r="D26" s="109">
        <v>22833.94</v>
      </c>
      <c r="E26" s="109">
        <v>2257.52</v>
      </c>
      <c r="F26" s="109">
        <v>13665.89</v>
      </c>
      <c r="G26" s="109">
        <v>20605.259999999998</v>
      </c>
      <c r="H26" s="388">
        <v>1959827.64</v>
      </c>
      <c r="I26" s="389">
        <v>10428.1490158251</v>
      </c>
      <c r="J26" s="109">
        <v>0</v>
      </c>
      <c r="K26" s="109">
        <v>0</v>
      </c>
      <c r="L26" s="109">
        <v>0</v>
      </c>
      <c r="M26" s="109">
        <v>0</v>
      </c>
      <c r="N26" s="515">
        <f t="shared" si="5"/>
        <v>21680.920984175056</v>
      </c>
      <c r="O26" s="547"/>
      <c r="P26" s="240">
        <f>'B5-Capex'!K28</f>
        <v>2052830</v>
      </c>
      <c r="Q26" s="75">
        <f>'B5-Capex'!L28</f>
        <v>0</v>
      </c>
      <c r="R26" s="76">
        <f>'B5-Capex'!M28</f>
        <v>0</v>
      </c>
      <c r="S26" s="128"/>
    </row>
    <row r="27" spans="1:19" ht="12.75" customHeight="1" x14ac:dyDescent="0.25">
      <c r="A27" s="129" t="str">
        <f t="shared" si="4"/>
        <v>Vote 4 - Corporate Services</v>
      </c>
      <c r="B27" s="129"/>
      <c r="C27" s="389">
        <v>0</v>
      </c>
      <c r="D27" s="109">
        <v>1373</v>
      </c>
      <c r="E27" s="109">
        <v>13406.84</v>
      </c>
      <c r="F27" s="109">
        <v>20063.7</v>
      </c>
      <c r="G27" s="109">
        <v>1980</v>
      </c>
      <c r="H27" s="388">
        <v>1474.78</v>
      </c>
      <c r="I27" s="389"/>
      <c r="J27" s="109"/>
      <c r="K27" s="109"/>
      <c r="L27" s="109"/>
      <c r="M27" s="109"/>
      <c r="N27" s="515">
        <f t="shared" si="5"/>
        <v>0.68000000000029104</v>
      </c>
      <c r="O27" s="547"/>
      <c r="P27" s="240">
        <f>'B5-Capex'!K29</f>
        <v>38299</v>
      </c>
      <c r="Q27" s="75">
        <f>'B5-Capex'!L29</f>
        <v>0</v>
      </c>
      <c r="R27" s="76">
        <f>'B5-Capex'!M29</f>
        <v>0</v>
      </c>
      <c r="S27" s="128"/>
    </row>
    <row r="28" spans="1:19" ht="12.75" customHeight="1" x14ac:dyDescent="0.25">
      <c r="A28" s="129" t="str">
        <f t="shared" si="4"/>
        <v>Vote 5 - Community Services</v>
      </c>
      <c r="B28" s="129"/>
      <c r="C28" s="389">
        <v>0</v>
      </c>
      <c r="D28" s="109">
        <v>0</v>
      </c>
      <c r="E28" s="109">
        <v>2130.4299999999998</v>
      </c>
      <c r="F28" s="109">
        <v>5235</v>
      </c>
      <c r="G28" s="109">
        <v>0</v>
      </c>
      <c r="H28" s="388">
        <v>0</v>
      </c>
      <c r="I28" s="389">
        <v>0</v>
      </c>
      <c r="J28" s="109">
        <v>348000</v>
      </c>
      <c r="K28" s="109">
        <v>0</v>
      </c>
      <c r="L28" s="109">
        <v>0</v>
      </c>
      <c r="M28" s="109">
        <v>0</v>
      </c>
      <c r="N28" s="515">
        <f t="shared" si="5"/>
        <v>230000.57</v>
      </c>
      <c r="O28" s="547"/>
      <c r="P28" s="240">
        <f>'B5-Capex'!K30</f>
        <v>585366</v>
      </c>
      <c r="Q28" s="75">
        <f>'B5-Capex'!L30</f>
        <v>0</v>
      </c>
      <c r="R28" s="76">
        <f>'B5-Capex'!M30</f>
        <v>0</v>
      </c>
      <c r="S28" s="128"/>
    </row>
    <row r="29" spans="1:19" ht="12.75" customHeight="1" x14ac:dyDescent="0.25">
      <c r="A29" s="129" t="str">
        <f t="shared" si="4"/>
        <v>Vote 6 - Community Services</v>
      </c>
      <c r="B29" s="129"/>
      <c r="C29" s="389"/>
      <c r="D29" s="109"/>
      <c r="E29" s="109"/>
      <c r="F29" s="109"/>
      <c r="G29" s="109"/>
      <c r="H29" s="388"/>
      <c r="I29" s="389"/>
      <c r="J29" s="109"/>
      <c r="K29" s="109"/>
      <c r="L29" s="109"/>
      <c r="M29" s="109"/>
      <c r="N29" s="515">
        <f t="shared" si="5"/>
        <v>0</v>
      </c>
      <c r="O29" s="547"/>
      <c r="P29" s="240">
        <f>'B5-Capex'!K31</f>
        <v>0</v>
      </c>
      <c r="Q29" s="75">
        <f>'B5-Capex'!L31</f>
        <v>0</v>
      </c>
      <c r="R29" s="76">
        <f>'B5-Capex'!M31</f>
        <v>0</v>
      </c>
      <c r="S29" s="128"/>
    </row>
    <row r="30" spans="1:19" ht="12.75" customHeight="1" x14ac:dyDescent="0.25">
      <c r="A30" s="129" t="str">
        <f t="shared" si="4"/>
        <v>Vote 7 - Electrical Engineering Services</v>
      </c>
      <c r="B30" s="129"/>
      <c r="C30" s="389">
        <v>141761.07999999999</v>
      </c>
      <c r="D30" s="109">
        <v>196262.84999999998</v>
      </c>
      <c r="E30" s="109">
        <v>584477.87</v>
      </c>
      <c r="F30" s="109">
        <v>521567.38</v>
      </c>
      <c r="G30" s="109">
        <v>808711.99</v>
      </c>
      <c r="H30" s="388">
        <v>1415051.88</v>
      </c>
      <c r="I30" s="389">
        <v>1257712.1033211059</v>
      </c>
      <c r="J30" s="109">
        <v>5087350.5738401692</v>
      </c>
      <c r="K30" s="109">
        <v>10924571.214396674</v>
      </c>
      <c r="L30" s="109">
        <v>4369828.4857586706</v>
      </c>
      <c r="M30" s="109">
        <v>0</v>
      </c>
      <c r="N30" s="515">
        <f t="shared" si="5"/>
        <v>31092704.572683379</v>
      </c>
      <c r="O30" s="547"/>
      <c r="P30" s="240">
        <f>'B5-Capex'!K32</f>
        <v>56400000</v>
      </c>
      <c r="Q30" s="75">
        <f>'B5-Capex'!L32</f>
        <v>35000000</v>
      </c>
      <c r="R30" s="76">
        <f>'B5-Capex'!M32</f>
        <v>45000000</v>
      </c>
      <c r="S30" s="128"/>
    </row>
    <row r="31" spans="1:19" ht="12.75" customHeight="1" x14ac:dyDescent="0.25">
      <c r="A31" s="129" t="str">
        <f t="shared" si="4"/>
        <v>Vote 8 - Engineering Services</v>
      </c>
      <c r="B31" s="129"/>
      <c r="C31" s="389">
        <v>19087719.609999999</v>
      </c>
      <c r="D31" s="109">
        <v>7177523.1299999999</v>
      </c>
      <c r="E31" s="109">
        <v>5004423.16</v>
      </c>
      <c r="F31" s="109">
        <v>5312014.55</v>
      </c>
      <c r="G31" s="109">
        <v>3349909.5700000003</v>
      </c>
      <c r="H31" s="388">
        <v>3977481.89</v>
      </c>
      <c r="I31" s="389">
        <v>1433707.9579507227</v>
      </c>
      <c r="J31" s="109">
        <v>9389271.1152489334</v>
      </c>
      <c r="K31" s="109">
        <v>13059475.557342518</v>
      </c>
      <c r="L31" s="109">
        <v>8455924.4283732586</v>
      </c>
      <c r="M31" s="109">
        <v>9007660.9486745931</v>
      </c>
      <c r="N31" s="515">
        <f t="shared" si="5"/>
        <v>9366461.0824099779</v>
      </c>
      <c r="O31" s="547"/>
      <c r="P31" s="240">
        <f>'B5-Capex'!K33</f>
        <v>94621573</v>
      </c>
      <c r="Q31" s="75">
        <f>'B5-Capex'!L33</f>
        <v>89549850</v>
      </c>
      <c r="R31" s="76">
        <f>'B5-Capex'!M33</f>
        <v>94667500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668</v>
      </c>
      <c r="B39" s="73">
        <v>3</v>
      </c>
      <c r="C39" s="580">
        <f>SUM(C24:C38)</f>
        <v>19231011.370000001</v>
      </c>
      <c r="D39" s="581">
        <f t="shared" ref="D39:R39" si="6">SUM(D24:D38)</f>
        <v>7413792.5199999996</v>
      </c>
      <c r="E39" s="581">
        <f t="shared" si="6"/>
        <v>5606695.8200000003</v>
      </c>
      <c r="F39" s="581">
        <f t="shared" si="6"/>
        <v>5872546.5199999996</v>
      </c>
      <c r="G39" s="581">
        <f t="shared" si="6"/>
        <v>4185356.8200000003</v>
      </c>
      <c r="H39" s="582">
        <f t="shared" si="6"/>
        <v>7353836.1899999995</v>
      </c>
      <c r="I39" s="583">
        <f t="shared" si="6"/>
        <v>2701848.2102876538</v>
      </c>
      <c r="J39" s="581">
        <f t="shared" si="6"/>
        <v>14824621.689089103</v>
      </c>
      <c r="K39" s="581">
        <f t="shared" si="6"/>
        <v>23984046.771739192</v>
      </c>
      <c r="L39" s="581">
        <f t="shared" si="6"/>
        <v>12825752.914131928</v>
      </c>
      <c r="M39" s="582">
        <f t="shared" si="6"/>
        <v>9007660.9486745931</v>
      </c>
      <c r="N39" s="584">
        <f t="shared" si="6"/>
        <v>40710848.226077527</v>
      </c>
      <c r="O39" s="585">
        <f t="shared" si="6"/>
        <v>0</v>
      </c>
      <c r="P39" s="586">
        <f t="shared" si="6"/>
        <v>153718018</v>
      </c>
      <c r="Q39" s="587">
        <f t="shared" si="6"/>
        <v>124549850</v>
      </c>
      <c r="R39" s="584">
        <f t="shared" si="6"/>
        <v>139667500</v>
      </c>
      <c r="S39" s="128"/>
    </row>
    <row r="40" spans="1:20" ht="12.75" customHeight="1" x14ac:dyDescent="0.25">
      <c r="A40" s="590" t="s">
        <v>473</v>
      </c>
      <c r="B40" s="591">
        <v>2</v>
      </c>
      <c r="C40" s="116">
        <f>C21+C39</f>
        <v>19231011.370000001</v>
      </c>
      <c r="D40" s="117">
        <f t="shared" ref="D40:R40" si="7">D21+D39</f>
        <v>7413792.5199999996</v>
      </c>
      <c r="E40" s="117">
        <f t="shared" si="7"/>
        <v>5606695.8200000003</v>
      </c>
      <c r="F40" s="117">
        <f t="shared" si="7"/>
        <v>5872546.5199999996</v>
      </c>
      <c r="G40" s="117">
        <f t="shared" si="7"/>
        <v>4185356.8200000003</v>
      </c>
      <c r="H40" s="529">
        <f t="shared" si="7"/>
        <v>7353836.1899999995</v>
      </c>
      <c r="I40" s="116">
        <f t="shared" si="7"/>
        <v>2701848.2102876538</v>
      </c>
      <c r="J40" s="117">
        <f t="shared" si="7"/>
        <v>14824621.689089103</v>
      </c>
      <c r="K40" s="117">
        <f t="shared" si="7"/>
        <v>23984046.771739192</v>
      </c>
      <c r="L40" s="117">
        <f t="shared" si="7"/>
        <v>12825752.914131928</v>
      </c>
      <c r="M40" s="117">
        <f t="shared" si="7"/>
        <v>9007660.9486745931</v>
      </c>
      <c r="N40" s="529">
        <f t="shared" si="7"/>
        <v>40710848.226077527</v>
      </c>
      <c r="O40" s="550">
        <f t="shared" si="7"/>
        <v>0</v>
      </c>
      <c r="P40" s="116">
        <f t="shared" si="7"/>
        <v>153718018</v>
      </c>
      <c r="Q40" s="117">
        <f t="shared" si="7"/>
        <v>124549850</v>
      </c>
      <c r="R40" s="118">
        <f t="shared" si="7"/>
        <v>139667500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474</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475</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41481232</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I8" sqref="I8:K8"/>
    </sheetView>
  </sheetViews>
  <sheetFormatPr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LIM333 Greater Tzaneen - Supporting Table SB17 Adjustments Budget - monthly capital expenditure (functional classification) - 27/02/2019</v>
      </c>
      <c r="B1" s="57"/>
      <c r="D1" s="58"/>
    </row>
    <row r="2" spans="1:18" ht="25.5" x14ac:dyDescent="0.25">
      <c r="A2" s="1398" t="str">
        <f>desc</f>
        <v>Description</v>
      </c>
      <c r="B2" s="1393" t="str">
        <f>head27</f>
        <v>Ref</v>
      </c>
      <c r="C2" s="1390" t="str">
        <f>Head2</f>
        <v>Budget Year 2018/19</v>
      </c>
      <c r="D2" s="1391"/>
      <c r="E2" s="1391"/>
      <c r="F2" s="1391"/>
      <c r="G2" s="1391"/>
      <c r="H2" s="1391"/>
      <c r="I2" s="1391"/>
      <c r="J2" s="1391"/>
      <c r="K2" s="1391"/>
      <c r="L2" s="1391"/>
      <c r="M2" s="1391"/>
      <c r="N2" s="1442"/>
      <c r="O2" s="594" t="str">
        <f>Head3a</f>
        <v>Medium Term Revenue and Expenditure Framework</v>
      </c>
      <c r="P2" s="457"/>
      <c r="Q2" s="170"/>
    </row>
    <row r="3" spans="1:18" ht="38.25" x14ac:dyDescent="0.25">
      <c r="A3" s="1399"/>
      <c r="B3" s="1394"/>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2018/19</v>
      </c>
      <c r="P3" s="539" t="str">
        <f>Head10</f>
        <v>Budget Year +1 2019/20</v>
      </c>
      <c r="Q3" s="329" t="str">
        <f>Head11</f>
        <v>Budget Year +2 2020/21</v>
      </c>
    </row>
    <row r="4" spans="1:18" ht="25.5" x14ac:dyDescent="0.25">
      <c r="A4" s="569" t="s">
        <v>605</v>
      </c>
      <c r="B4" s="104"/>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Q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44" t="str">
        <f t="shared" si="1"/>
        <v>Adjusted Budget</v>
      </c>
      <c r="P4" s="545" t="str">
        <f t="shared" si="1"/>
        <v>Adjusted Budget</v>
      </c>
      <c r="Q4" s="546" t="str">
        <f t="shared" si="1"/>
        <v>Adjusted Budget</v>
      </c>
    </row>
    <row r="5" spans="1:18" ht="12.75" customHeight="1" x14ac:dyDescent="0.25">
      <c r="A5" s="514" t="s">
        <v>1500</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92">
        <f t="shared" ref="C6:M6" si="2">SUM(C7:C9)</f>
        <v>1530.68</v>
      </c>
      <c r="D6" s="893">
        <f t="shared" si="2"/>
        <v>30265.94</v>
      </c>
      <c r="E6" s="893">
        <f t="shared" si="2"/>
        <v>15664.36</v>
      </c>
      <c r="F6" s="893">
        <f t="shared" si="2"/>
        <v>33729.589999999997</v>
      </c>
      <c r="G6" s="893">
        <f t="shared" si="2"/>
        <v>22585.26</v>
      </c>
      <c r="H6" s="894">
        <f t="shared" si="2"/>
        <v>1961302.42</v>
      </c>
      <c r="I6" s="892">
        <f t="shared" si="2"/>
        <v>10426.103640383899</v>
      </c>
      <c r="J6" s="893">
        <f t="shared" si="2"/>
        <v>0</v>
      </c>
      <c r="K6" s="893">
        <f t="shared" si="2"/>
        <v>0</v>
      </c>
      <c r="L6" s="893">
        <f t="shared" si="2"/>
        <v>0</v>
      </c>
      <c r="M6" s="893">
        <f t="shared" si="2"/>
        <v>0</v>
      </c>
      <c r="N6" s="895">
        <f t="shared" ref="N6:N25" si="3">O6-SUM(C6:M6)</f>
        <v>21683.646359616192</v>
      </c>
      <c r="O6" s="782">
        <f>'B5-Capex'!K45</f>
        <v>2097188</v>
      </c>
      <c r="P6" s="783">
        <f>'B5-Capex'!L45</f>
        <v>0</v>
      </c>
      <c r="Q6" s="785">
        <f>'B5-Capex'!M45</f>
        <v>0</v>
      </c>
      <c r="R6" s="128"/>
    </row>
    <row r="7" spans="1:18" ht="12.75" customHeight="1" x14ac:dyDescent="0.25">
      <c r="A7" s="108" t="str">
        <f>'B2-FinPerf SC'!A8</f>
        <v>Executive and council</v>
      </c>
      <c r="B7" s="129"/>
      <c r="C7" s="109">
        <v>0</v>
      </c>
      <c r="D7" s="109">
        <v>6059</v>
      </c>
      <c r="E7" s="109">
        <v>0</v>
      </c>
      <c r="F7" s="109">
        <v>0</v>
      </c>
      <c r="G7" s="109">
        <v>0</v>
      </c>
      <c r="H7" s="388">
        <v>0</v>
      </c>
      <c r="I7" s="389">
        <v>0</v>
      </c>
      <c r="J7" s="109"/>
      <c r="K7" s="109"/>
      <c r="L7" s="109"/>
      <c r="M7" s="109"/>
      <c r="N7" s="515">
        <f t="shared" si="3"/>
        <v>0</v>
      </c>
      <c r="O7" s="240">
        <f>'B5-Capex'!K46</f>
        <v>6059</v>
      </c>
      <c r="P7" s="75">
        <f>'B5-Capex'!L46</f>
        <v>0</v>
      </c>
      <c r="Q7" s="76">
        <f>'B5-Capex'!M46</f>
        <v>0</v>
      </c>
      <c r="R7" s="128"/>
    </row>
    <row r="8" spans="1:18" ht="12.75" customHeight="1" x14ac:dyDescent="0.25">
      <c r="A8" s="108" t="str">
        <f>'B2-FinPerf SC'!A9</f>
        <v>Finance and administration</v>
      </c>
      <c r="B8" s="129"/>
      <c r="C8" s="111">
        <v>1530.68</v>
      </c>
      <c r="D8" s="111">
        <v>24206.94</v>
      </c>
      <c r="E8" s="111">
        <v>15664.36</v>
      </c>
      <c r="F8" s="111">
        <v>33729.589999999997</v>
      </c>
      <c r="G8" s="111">
        <v>22585.26</v>
      </c>
      <c r="H8" s="563">
        <v>1961302.42</v>
      </c>
      <c r="I8" s="564">
        <v>10426.103640383899</v>
      </c>
      <c r="J8" s="111">
        <v>0</v>
      </c>
      <c r="K8" s="111">
        <v>0</v>
      </c>
      <c r="L8" s="111"/>
      <c r="M8" s="111"/>
      <c r="N8" s="515">
        <f t="shared" si="3"/>
        <v>21683.646359616192</v>
      </c>
      <c r="O8" s="240">
        <f>'B5-Capex'!K47</f>
        <v>2091129</v>
      </c>
      <c r="P8" s="75">
        <f>'B5-Capex'!L47</f>
        <v>0</v>
      </c>
      <c r="Q8" s="76">
        <f>'B5-Capex'!M47</f>
        <v>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92">
        <f t="shared" ref="C10:M10" si="4">SUM(C11:C15)</f>
        <v>0</v>
      </c>
      <c r="D10" s="893">
        <f t="shared" si="4"/>
        <v>0</v>
      </c>
      <c r="E10" s="893">
        <f t="shared" si="4"/>
        <v>0</v>
      </c>
      <c r="F10" s="893">
        <f t="shared" si="4"/>
        <v>0</v>
      </c>
      <c r="G10" s="893">
        <f t="shared" si="4"/>
        <v>0</v>
      </c>
      <c r="H10" s="894">
        <f t="shared" si="4"/>
        <v>0</v>
      </c>
      <c r="I10" s="892">
        <f t="shared" si="4"/>
        <v>0</v>
      </c>
      <c r="J10" s="893">
        <f t="shared" si="4"/>
        <v>348000</v>
      </c>
      <c r="K10" s="893">
        <f t="shared" si="4"/>
        <v>0</v>
      </c>
      <c r="L10" s="893">
        <f t="shared" si="4"/>
        <v>0</v>
      </c>
      <c r="M10" s="893">
        <f t="shared" si="4"/>
        <v>0</v>
      </c>
      <c r="N10" s="895">
        <f t="shared" si="3"/>
        <v>2730000</v>
      </c>
      <c r="O10" s="782">
        <f>'B5-Capex'!K49</f>
        <v>3078000</v>
      </c>
      <c r="P10" s="783">
        <f>'B5-Capex'!L49</f>
        <v>0</v>
      </c>
      <c r="Q10" s="785">
        <f>'B5-Capex'!M49</f>
        <v>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0</v>
      </c>
      <c r="O11" s="240">
        <f>'B5-Capex'!K50</f>
        <v>0</v>
      </c>
      <c r="P11" s="75">
        <f>'B5-Capex'!L50</f>
        <v>0</v>
      </c>
      <c r="Q11" s="76">
        <f>'B5-Capex'!M50</f>
        <v>0</v>
      </c>
      <c r="R11" s="128"/>
    </row>
    <row r="12" spans="1:18" ht="12.75" customHeight="1" x14ac:dyDescent="0.25">
      <c r="A12" s="108" t="str">
        <f>'B2-FinPerf SC'!A13</f>
        <v>Sport and recreation</v>
      </c>
      <c r="B12" s="129"/>
      <c r="C12" s="109"/>
      <c r="D12" s="109"/>
      <c r="E12" s="109"/>
      <c r="F12" s="109"/>
      <c r="G12" s="109"/>
      <c r="H12" s="388"/>
      <c r="I12" s="389">
        <v>0</v>
      </c>
      <c r="J12" s="109">
        <v>348000</v>
      </c>
      <c r="K12" s="109">
        <v>0</v>
      </c>
      <c r="L12" s="109">
        <v>0</v>
      </c>
      <c r="M12" s="109">
        <v>0</v>
      </c>
      <c r="N12" s="515">
        <f t="shared" si="3"/>
        <v>0</v>
      </c>
      <c r="O12" s="240">
        <f>'B5-Capex'!K51</f>
        <v>348000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0</v>
      </c>
      <c r="O13" s="240">
        <f>'B5-Capex'!K52</f>
        <v>0</v>
      </c>
      <c r="P13" s="75">
        <f>'B5-Capex'!L52</f>
        <v>0</v>
      </c>
      <c r="Q13" s="76">
        <f>'B5-Capex'!M52</f>
        <v>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2500000</v>
      </c>
      <c r="O14" s="240">
        <f>'B5-Capex'!K53</f>
        <v>2500000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230000</v>
      </c>
      <c r="O15" s="240">
        <f>'B5-Capex'!K54</f>
        <v>230000</v>
      </c>
      <c r="P15" s="75">
        <f>'B5-Capex'!L54</f>
        <v>0</v>
      </c>
      <c r="Q15" s="76">
        <f>'B5-Capex'!M54</f>
        <v>0</v>
      </c>
      <c r="R15" s="128"/>
    </row>
    <row r="16" spans="1:18" ht="12.75" customHeight="1" x14ac:dyDescent="0.25">
      <c r="A16" s="107" t="str">
        <f>'B2-FinPerf SC'!A17</f>
        <v>Economic and environmental services</v>
      </c>
      <c r="B16" s="129"/>
      <c r="C16" s="892">
        <f t="shared" ref="C16:M16" si="5">SUM(C17:C19)</f>
        <v>19087719.609999999</v>
      </c>
      <c r="D16" s="893">
        <f t="shared" si="5"/>
        <v>7187263.7299999995</v>
      </c>
      <c r="E16" s="893">
        <f t="shared" si="5"/>
        <v>5004423.16</v>
      </c>
      <c r="F16" s="893">
        <f t="shared" si="5"/>
        <v>5312014.55</v>
      </c>
      <c r="G16" s="893">
        <f t="shared" si="5"/>
        <v>3354059.5700000003</v>
      </c>
      <c r="H16" s="894">
        <f t="shared" si="5"/>
        <v>3977481.89</v>
      </c>
      <c r="I16" s="892">
        <f t="shared" si="5"/>
        <v>1433707.9579507227</v>
      </c>
      <c r="J16" s="893">
        <f t="shared" si="5"/>
        <v>9389271.1152489334</v>
      </c>
      <c r="K16" s="893">
        <f t="shared" si="5"/>
        <v>13059475.557342518</v>
      </c>
      <c r="L16" s="893">
        <f t="shared" si="5"/>
        <v>8455924.4283732586</v>
      </c>
      <c r="M16" s="893">
        <f t="shared" si="5"/>
        <v>9007660.9486745931</v>
      </c>
      <c r="N16" s="895">
        <f t="shared" si="3"/>
        <v>6866461.482409969</v>
      </c>
      <c r="O16" s="782">
        <f>'B5-Capex'!K55</f>
        <v>92135464</v>
      </c>
      <c r="P16" s="783">
        <f>'B5-Capex'!L55</f>
        <v>89549850</v>
      </c>
      <c r="Q16" s="785">
        <f>'B5-Capex'!M55</f>
        <v>94667500</v>
      </c>
      <c r="R16" s="128"/>
    </row>
    <row r="17" spans="1:20" ht="12.75" customHeight="1" x14ac:dyDescent="0.25">
      <c r="A17" s="108" t="str">
        <f>'B2-FinPerf SC'!A18</f>
        <v>Planning and development</v>
      </c>
      <c r="B17" s="129"/>
      <c r="C17" s="109">
        <v>0</v>
      </c>
      <c r="D17" s="109">
        <v>9740.6</v>
      </c>
      <c r="E17" s="109">
        <v>0</v>
      </c>
      <c r="F17" s="109">
        <v>0</v>
      </c>
      <c r="G17" s="109">
        <v>4150</v>
      </c>
      <c r="H17" s="388">
        <v>0</v>
      </c>
      <c r="I17" s="389">
        <v>0</v>
      </c>
      <c r="J17" s="109"/>
      <c r="K17" s="109"/>
      <c r="L17" s="109"/>
      <c r="M17" s="109"/>
      <c r="N17" s="515">
        <f t="shared" si="3"/>
        <v>0.3999999999996362</v>
      </c>
      <c r="O17" s="240">
        <f>'B5-Capex'!K56</f>
        <v>13891</v>
      </c>
      <c r="P17" s="75">
        <f>'B5-Capex'!L56</f>
        <v>0</v>
      </c>
      <c r="Q17" s="76">
        <f>'B5-Capex'!M56</f>
        <v>0</v>
      </c>
      <c r="R17" s="128"/>
    </row>
    <row r="18" spans="1:20" ht="12.75" customHeight="1" x14ac:dyDescent="0.25">
      <c r="A18" s="108" t="str">
        <f>'B2-FinPerf SC'!A19</f>
        <v>Road transport</v>
      </c>
      <c r="B18" s="129"/>
      <c r="C18" s="109">
        <v>19087719.609999999</v>
      </c>
      <c r="D18" s="109">
        <v>7177523.1299999999</v>
      </c>
      <c r="E18" s="109">
        <v>5004423.16</v>
      </c>
      <c r="F18" s="109">
        <v>5312014.55</v>
      </c>
      <c r="G18" s="109">
        <v>3349909.5700000003</v>
      </c>
      <c r="H18" s="388">
        <v>3977481.89</v>
      </c>
      <c r="I18" s="389">
        <v>1433707.9579507227</v>
      </c>
      <c r="J18" s="109">
        <v>9389271.1152489334</v>
      </c>
      <c r="K18" s="109">
        <v>13059475.557342518</v>
      </c>
      <c r="L18" s="109">
        <v>8455924.4283732586</v>
      </c>
      <c r="M18" s="109">
        <v>9007660.9486745931</v>
      </c>
      <c r="N18" s="515">
        <f t="shared" si="3"/>
        <v>6866461.0824099779</v>
      </c>
      <c r="O18" s="240">
        <f>'B5-Capex'!K57</f>
        <v>92121573</v>
      </c>
      <c r="P18" s="75">
        <f>'B5-Capex'!L57</f>
        <v>89549850</v>
      </c>
      <c r="Q18" s="76">
        <f>'B5-Capex'!M57</f>
        <v>94667500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92">
        <f>SUM(C21:C24)</f>
        <v>141761.07999999999</v>
      </c>
      <c r="D20" s="893">
        <f t="shared" ref="D20:M20" si="6">SUM(D21:D24)</f>
        <v>196262.84999999998</v>
      </c>
      <c r="E20" s="893">
        <f t="shared" si="6"/>
        <v>586608.30000000005</v>
      </c>
      <c r="F20" s="893">
        <f t="shared" si="6"/>
        <v>526802.38</v>
      </c>
      <c r="G20" s="893">
        <f t="shared" si="6"/>
        <v>808711.99</v>
      </c>
      <c r="H20" s="894">
        <f t="shared" si="6"/>
        <v>1415051.88</v>
      </c>
      <c r="I20" s="892">
        <f t="shared" si="6"/>
        <v>1257712.1033211059</v>
      </c>
      <c r="J20" s="893">
        <f t="shared" si="6"/>
        <v>5087350.5738401692</v>
      </c>
      <c r="K20" s="893">
        <f t="shared" si="6"/>
        <v>10924571.214396674</v>
      </c>
      <c r="L20" s="893">
        <f t="shared" si="6"/>
        <v>4369828.4857586706</v>
      </c>
      <c r="M20" s="893">
        <f t="shared" si="6"/>
        <v>0</v>
      </c>
      <c r="N20" s="895">
        <f t="shared" si="3"/>
        <v>31092705.142683379</v>
      </c>
      <c r="O20" s="782">
        <f>'B5-Capex'!K59</f>
        <v>56407366</v>
      </c>
      <c r="P20" s="783">
        <f>'B5-Capex'!L59</f>
        <v>35000000</v>
      </c>
      <c r="Q20" s="785">
        <f>'B5-Capex'!M59</f>
        <v>45000000</v>
      </c>
      <c r="R20" s="128"/>
    </row>
    <row r="21" spans="1:20" ht="12.75" customHeight="1" x14ac:dyDescent="0.25">
      <c r="A21" s="108" t="str">
        <f>'B2-FinPerf SC'!A22</f>
        <v>Energy sources</v>
      </c>
      <c r="B21" s="129"/>
      <c r="C21" s="109">
        <v>141761.07999999999</v>
      </c>
      <c r="D21" s="109">
        <v>196262.84999999998</v>
      </c>
      <c r="E21" s="109">
        <v>584477.87</v>
      </c>
      <c r="F21" s="109">
        <v>521567.38</v>
      </c>
      <c r="G21" s="109">
        <v>808711.99</v>
      </c>
      <c r="H21" s="388">
        <v>1415051.88</v>
      </c>
      <c r="I21" s="389">
        <v>1257712.1033211059</v>
      </c>
      <c r="J21" s="109">
        <v>5087350.5738401692</v>
      </c>
      <c r="K21" s="109">
        <v>10924571.214396674</v>
      </c>
      <c r="L21" s="109">
        <v>4369828.4857586706</v>
      </c>
      <c r="M21" s="109">
        <v>0</v>
      </c>
      <c r="N21" s="515">
        <f t="shared" si="3"/>
        <v>31092704.572683379</v>
      </c>
      <c r="O21" s="240">
        <f>'B5-Capex'!K60</f>
        <v>56400000</v>
      </c>
      <c r="P21" s="75">
        <f>'B5-Capex'!L60</f>
        <v>35000000</v>
      </c>
      <c r="Q21" s="76">
        <f>'B5-Capex'!M60</f>
        <v>45000000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v>0</v>
      </c>
      <c r="D24" s="109">
        <v>0</v>
      </c>
      <c r="E24" s="109">
        <v>2130.4299999999998</v>
      </c>
      <c r="F24" s="109">
        <v>5235</v>
      </c>
      <c r="G24" s="109">
        <v>0</v>
      </c>
      <c r="H24" s="388">
        <v>0</v>
      </c>
      <c r="I24" s="389">
        <v>0</v>
      </c>
      <c r="J24" s="109"/>
      <c r="K24" s="109"/>
      <c r="L24" s="109"/>
      <c r="M24" s="109"/>
      <c r="N24" s="515">
        <f t="shared" si="3"/>
        <v>0.56999999999970896</v>
      </c>
      <c r="O24" s="240">
        <f>'B5-Capex'!K63</f>
        <v>7366</v>
      </c>
      <c r="P24" s="75">
        <f>'B5-Capex'!L63</f>
        <v>0</v>
      </c>
      <c r="Q24" s="76">
        <f>'B5-Capex'!M63</f>
        <v>0</v>
      </c>
      <c r="R24" s="128"/>
    </row>
    <row r="25" spans="1:20" ht="12.75" customHeight="1" x14ac:dyDescent="0.25">
      <c r="A25" s="107" t="str">
        <f>'B2-FinPerf SC'!A26</f>
        <v>Other</v>
      </c>
      <c r="B25" s="129"/>
      <c r="C25" s="821"/>
      <c r="D25" s="821"/>
      <c r="E25" s="821"/>
      <c r="F25" s="821"/>
      <c r="G25" s="821"/>
      <c r="H25" s="886"/>
      <c r="I25" s="887"/>
      <c r="J25" s="821"/>
      <c r="K25" s="821"/>
      <c r="L25" s="821"/>
      <c r="M25" s="821"/>
      <c r="N25" s="523">
        <f t="shared" si="3"/>
        <v>0</v>
      </c>
      <c r="O25" s="483">
        <f>'B5-Capex'!K64</f>
        <v>0</v>
      </c>
      <c r="P25" s="141">
        <f>'B5-Capex'!L64</f>
        <v>0</v>
      </c>
      <c r="Q25" s="142">
        <f>'B5-Capex'!M64</f>
        <v>0</v>
      </c>
      <c r="R25" s="128"/>
    </row>
    <row r="26" spans="1:20" ht="12.75" customHeight="1" x14ac:dyDescent="0.25">
      <c r="A26" s="590" t="s">
        <v>1505</v>
      </c>
      <c r="B26" s="591"/>
      <c r="C26" s="698">
        <f>C6+C10+C16+C20+C25</f>
        <v>19231011.369999997</v>
      </c>
      <c r="D26" s="698">
        <f t="shared" ref="D26:N26" si="7">D6+D10+D16+D20+D25</f>
        <v>7413792.5199999996</v>
      </c>
      <c r="E26" s="698">
        <f t="shared" si="7"/>
        <v>5606695.8200000003</v>
      </c>
      <c r="F26" s="698">
        <f t="shared" si="7"/>
        <v>5872546.5199999996</v>
      </c>
      <c r="G26" s="698">
        <f t="shared" si="7"/>
        <v>4185356.8200000003</v>
      </c>
      <c r="H26" s="699">
        <f t="shared" si="7"/>
        <v>7353836.1900000004</v>
      </c>
      <c r="I26" s="700">
        <f t="shared" si="7"/>
        <v>2701846.1649122126</v>
      </c>
      <c r="J26" s="698">
        <f t="shared" si="7"/>
        <v>14824621.689089103</v>
      </c>
      <c r="K26" s="698">
        <f t="shared" si="7"/>
        <v>23984046.771739192</v>
      </c>
      <c r="L26" s="698">
        <f t="shared" si="7"/>
        <v>12825752.914131928</v>
      </c>
      <c r="M26" s="698">
        <f t="shared" si="7"/>
        <v>9007660.9486745931</v>
      </c>
      <c r="N26" s="701">
        <f t="shared" si="7"/>
        <v>40710850.271452963</v>
      </c>
      <c r="O26" s="700">
        <f>O6+O10+O16+O20+O25</f>
        <v>153718018</v>
      </c>
      <c r="P26" s="702">
        <f>P6+P10+P16+P20+P25</f>
        <v>124549850</v>
      </c>
      <c r="Q26" s="703">
        <f>Q6+Q10+Q16+Q20+Q25</f>
        <v>139667500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474</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476</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6" activePane="bottomRight" state="frozen"/>
      <selection activeCell="C6" sqref="C6"/>
      <selection pane="topRight" activeCell="C6" sqref="C6"/>
      <selection pane="bottomLeft" activeCell="C6" sqref="C6"/>
      <selection pane="bottomRight" activeCell="L66" sqref="L6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LIM333 Greater Tzaneen - Supporting Table SB18a Adjustments Budget - capital expenditure on new assets by asset class - 27/02/2019</v>
      </c>
      <c r="B1" s="5"/>
      <c r="C1" s="58"/>
    </row>
    <row r="2" spans="1:14" ht="25.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53" t="s">
        <v>1200</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772</v>
      </c>
      <c r="B8" s="73"/>
      <c r="C8" s="704">
        <f>C9+C14+C18+C28+C39+C46+C54+C64+C70</f>
        <v>65364362.730000019</v>
      </c>
      <c r="D8" s="704">
        <f t="shared" ref="D8:I8" si="0">D9+D14+D18+D28+D39+D46+D54+D64+D70</f>
        <v>0</v>
      </c>
      <c r="E8" s="704">
        <f t="shared" si="0"/>
        <v>0</v>
      </c>
      <c r="F8" s="704">
        <f t="shared" si="0"/>
        <v>0</v>
      </c>
      <c r="G8" s="704">
        <f t="shared" si="0"/>
        <v>0</v>
      </c>
      <c r="H8" s="704">
        <f t="shared" si="0"/>
        <v>0</v>
      </c>
      <c r="I8" s="704">
        <f t="shared" si="0"/>
        <v>7328524.2700000033</v>
      </c>
      <c r="J8" s="705">
        <f>SUM(E8:I8)</f>
        <v>7328524.2700000033</v>
      </c>
      <c r="K8" s="705">
        <f>IF(D8=0,C8+J8,D8+J8)</f>
        <v>72692887.00000003</v>
      </c>
      <c r="L8" s="704">
        <f>L9+L14+L18+L28+L39+L46+L54+L64+L70</f>
        <v>86557122</v>
      </c>
      <c r="M8" s="706">
        <f>M9+M14+M18+M28+M39+M46+M54+M64+M70</f>
        <v>87850786</v>
      </c>
      <c r="N8" s="847"/>
    </row>
    <row r="9" spans="1:14" ht="12.75" customHeight="1" x14ac:dyDescent="0.25">
      <c r="A9" s="595" t="s">
        <v>1591</v>
      </c>
      <c r="B9" s="73"/>
      <c r="C9" s="265">
        <f>SUM(C10:C13)</f>
        <v>35864362.730000019</v>
      </c>
      <c r="D9" s="265">
        <f t="shared" ref="D9:M9" si="1">SUM(D10:D13)</f>
        <v>0</v>
      </c>
      <c r="E9" s="265">
        <f t="shared" si="1"/>
        <v>0</v>
      </c>
      <c r="F9" s="265">
        <f t="shared" si="1"/>
        <v>0</v>
      </c>
      <c r="G9" s="265">
        <f t="shared" si="1"/>
        <v>0</v>
      </c>
      <c r="H9" s="265">
        <f t="shared" si="1"/>
        <v>0</v>
      </c>
      <c r="I9" s="265">
        <f t="shared" si="1"/>
        <v>-3471475.7299999967</v>
      </c>
      <c r="J9" s="75">
        <f t="shared" ref="J9:J72" si="2">SUM(E9:I9)</f>
        <v>-3471475.7299999967</v>
      </c>
      <c r="K9" s="75">
        <f t="shared" ref="K9:K72" si="3">IF(D9=0,C9+J9,D9+J9)</f>
        <v>32392887.000000022</v>
      </c>
      <c r="L9" s="265">
        <f t="shared" si="1"/>
        <v>67607122</v>
      </c>
      <c r="M9" s="266">
        <f t="shared" si="1"/>
        <v>67500786</v>
      </c>
      <c r="N9" s="128"/>
    </row>
    <row r="10" spans="1:14" ht="12.75" customHeight="1" x14ac:dyDescent="0.25">
      <c r="A10" s="596" t="s">
        <v>1008</v>
      </c>
      <c r="B10" s="73"/>
      <c r="C10" s="109">
        <v>35864362.730000019</v>
      </c>
      <c r="D10" s="109"/>
      <c r="E10" s="109"/>
      <c r="F10" s="109"/>
      <c r="G10" s="109"/>
      <c r="H10" s="109"/>
      <c r="I10" s="109">
        <f>32392887-35864362.73</f>
        <v>-3471475.7299999967</v>
      </c>
      <c r="J10" s="75">
        <f t="shared" si="2"/>
        <v>-3471475.7299999967</v>
      </c>
      <c r="K10" s="75">
        <f t="shared" si="3"/>
        <v>32392887.000000022</v>
      </c>
      <c r="L10" s="109">
        <v>67607122</v>
      </c>
      <c r="M10" s="110">
        <v>67500786</v>
      </c>
      <c r="N10" s="847"/>
    </row>
    <row r="11" spans="1:14" ht="12.75" customHeight="1" x14ac:dyDescent="0.25">
      <c r="A11" s="596" t="s">
        <v>1592</v>
      </c>
      <c r="B11" s="73"/>
      <c r="C11" s="109"/>
      <c r="D11" s="109"/>
      <c r="E11" s="109"/>
      <c r="F11" s="109"/>
      <c r="G11" s="109"/>
      <c r="H11" s="109"/>
      <c r="I11" s="109"/>
      <c r="J11" s="75">
        <f t="shared" si="2"/>
        <v>0</v>
      </c>
      <c r="K11" s="75">
        <f t="shared" si="3"/>
        <v>0</v>
      </c>
      <c r="L11" s="109"/>
      <c r="M11" s="110"/>
      <c r="N11" s="852"/>
    </row>
    <row r="12" spans="1:14" ht="12.75" customHeight="1" x14ac:dyDescent="0.25">
      <c r="A12" s="596" t="s">
        <v>1593</v>
      </c>
      <c r="B12" s="73"/>
      <c r="C12" s="109"/>
      <c r="D12" s="109"/>
      <c r="E12" s="109"/>
      <c r="F12" s="109"/>
      <c r="G12" s="109"/>
      <c r="H12" s="109"/>
      <c r="I12" s="109"/>
      <c r="J12" s="75">
        <f t="shared" si="2"/>
        <v>0</v>
      </c>
      <c r="K12" s="75">
        <f t="shared" si="3"/>
        <v>0</v>
      </c>
      <c r="L12" s="109"/>
      <c r="M12" s="110"/>
      <c r="N12" s="847"/>
    </row>
    <row r="13" spans="1:14" ht="12.75" customHeight="1" x14ac:dyDescent="0.25">
      <c r="A13" s="596" t="s">
        <v>1594</v>
      </c>
      <c r="B13" s="73"/>
      <c r="C13" s="109"/>
      <c r="D13" s="109"/>
      <c r="E13" s="109"/>
      <c r="F13" s="109"/>
      <c r="G13" s="109"/>
      <c r="H13" s="109"/>
      <c r="I13" s="109"/>
      <c r="J13" s="75">
        <f t="shared" si="2"/>
        <v>0</v>
      </c>
      <c r="K13" s="75">
        <f t="shared" si="3"/>
        <v>0</v>
      </c>
      <c r="L13" s="109"/>
      <c r="M13" s="110"/>
      <c r="N13" s="852"/>
    </row>
    <row r="14" spans="1:14" ht="12.75" customHeight="1" x14ac:dyDescent="0.25">
      <c r="A14" s="595" t="s">
        <v>1595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2"/>
    </row>
    <row r="15" spans="1:14" ht="12.75" customHeight="1" x14ac:dyDescent="0.25">
      <c r="A15" s="596" t="s">
        <v>1596</v>
      </c>
      <c r="B15" s="73"/>
      <c r="C15" s="109"/>
      <c r="D15" s="109"/>
      <c r="E15" s="109"/>
      <c r="F15" s="109"/>
      <c r="G15" s="109"/>
      <c r="H15" s="109"/>
      <c r="I15" s="109"/>
      <c r="J15" s="75">
        <f t="shared" si="2"/>
        <v>0</v>
      </c>
      <c r="K15" s="75">
        <f t="shared" si="3"/>
        <v>0</v>
      </c>
      <c r="L15" s="109"/>
      <c r="M15" s="110"/>
      <c r="N15" s="852"/>
    </row>
    <row r="16" spans="1:14" ht="12.75" customHeight="1" x14ac:dyDescent="0.25">
      <c r="A16" s="596" t="s">
        <v>1597</v>
      </c>
      <c r="B16" s="73"/>
      <c r="C16" s="109"/>
      <c r="D16" s="109"/>
      <c r="E16" s="109"/>
      <c r="F16" s="109"/>
      <c r="G16" s="109"/>
      <c r="H16" s="109"/>
      <c r="I16" s="109"/>
      <c r="J16" s="75">
        <f t="shared" si="2"/>
        <v>0</v>
      </c>
      <c r="K16" s="75">
        <f t="shared" si="3"/>
        <v>0</v>
      </c>
      <c r="L16" s="109"/>
      <c r="M16" s="110"/>
      <c r="N16" s="852"/>
    </row>
    <row r="17" spans="1:14" ht="12.75" customHeight="1" x14ac:dyDescent="0.25">
      <c r="A17" s="596" t="s">
        <v>1598</v>
      </c>
      <c r="B17" s="73"/>
      <c r="C17" s="109"/>
      <c r="D17" s="109"/>
      <c r="E17" s="109"/>
      <c r="F17" s="109"/>
      <c r="G17" s="109"/>
      <c r="H17" s="109"/>
      <c r="I17" s="109"/>
      <c r="J17" s="75">
        <f t="shared" si="2"/>
        <v>0</v>
      </c>
      <c r="K17" s="75">
        <f t="shared" si="3"/>
        <v>0</v>
      </c>
      <c r="L17" s="109"/>
      <c r="M17" s="110"/>
      <c r="N17" s="852"/>
    </row>
    <row r="18" spans="1:14" ht="12.75" customHeight="1" x14ac:dyDescent="0.25">
      <c r="A18" s="595" t="s">
        <v>1599</v>
      </c>
      <c r="B18" s="73"/>
      <c r="C18" s="132">
        <f t="shared" ref="C18:M18" si="5">SUM(C19:C27)</f>
        <v>29500000</v>
      </c>
      <c r="D18" s="132">
        <f t="shared" si="5"/>
        <v>0</v>
      </c>
      <c r="E18" s="132">
        <f t="shared" si="5"/>
        <v>0</v>
      </c>
      <c r="F18" s="132">
        <f t="shared" si="5"/>
        <v>0</v>
      </c>
      <c r="G18" s="132">
        <f t="shared" si="5"/>
        <v>0</v>
      </c>
      <c r="H18" s="132">
        <f t="shared" si="5"/>
        <v>0</v>
      </c>
      <c r="I18" s="132">
        <f t="shared" si="5"/>
        <v>10800000</v>
      </c>
      <c r="J18" s="75">
        <f t="shared" si="2"/>
        <v>10800000</v>
      </c>
      <c r="K18" s="75">
        <f t="shared" si="3"/>
        <v>40300000</v>
      </c>
      <c r="L18" s="132">
        <f t="shared" si="5"/>
        <v>18950000</v>
      </c>
      <c r="M18" s="133">
        <f t="shared" si="5"/>
        <v>20350000</v>
      </c>
      <c r="N18" s="852"/>
    </row>
    <row r="19" spans="1:14" ht="12.75" customHeight="1" x14ac:dyDescent="0.25">
      <c r="A19" s="596" t="s">
        <v>1600</v>
      </c>
      <c r="B19" s="73"/>
      <c r="C19" s="109"/>
      <c r="D19" s="109"/>
      <c r="E19" s="109"/>
      <c r="F19" s="109"/>
      <c r="G19" s="109"/>
      <c r="H19" s="109"/>
      <c r="I19" s="109"/>
      <c r="J19" s="75">
        <f t="shared" si="2"/>
        <v>0</v>
      </c>
      <c r="K19" s="75">
        <f t="shared" si="3"/>
        <v>0</v>
      </c>
      <c r="L19" s="109"/>
      <c r="M19" s="110"/>
      <c r="N19" s="852"/>
    </row>
    <row r="20" spans="1:14" ht="12.4" customHeight="1" x14ac:dyDescent="0.25">
      <c r="A20" s="596" t="s">
        <v>1601</v>
      </c>
      <c r="B20" s="73"/>
      <c r="C20" s="109"/>
      <c r="D20" s="109"/>
      <c r="E20" s="109"/>
      <c r="F20" s="109"/>
      <c r="G20" s="109"/>
      <c r="H20" s="109"/>
      <c r="I20" s="109"/>
      <c r="J20" s="75">
        <f t="shared" si="2"/>
        <v>0</v>
      </c>
      <c r="K20" s="75">
        <f t="shared" si="3"/>
        <v>0</v>
      </c>
      <c r="L20" s="109"/>
      <c r="M20" s="110"/>
      <c r="N20" s="852"/>
    </row>
    <row r="21" spans="1:14" ht="12.75" customHeight="1" x14ac:dyDescent="0.25">
      <c r="A21" s="596" t="s">
        <v>1602</v>
      </c>
      <c r="B21" s="73"/>
      <c r="C21" s="109"/>
      <c r="D21" s="109"/>
      <c r="E21" s="109"/>
      <c r="F21" s="109"/>
      <c r="G21" s="109"/>
      <c r="H21" s="109"/>
      <c r="I21" s="109"/>
      <c r="J21" s="75">
        <f t="shared" si="2"/>
        <v>0</v>
      </c>
      <c r="K21" s="75">
        <f t="shared" si="3"/>
        <v>0</v>
      </c>
      <c r="L21" s="109"/>
      <c r="M21" s="110"/>
      <c r="N21" s="852"/>
    </row>
    <row r="22" spans="1:14" ht="12.75" customHeight="1" x14ac:dyDescent="0.25">
      <c r="A22" s="596" t="s">
        <v>1603</v>
      </c>
      <c r="B22" s="73"/>
      <c r="C22" s="109"/>
      <c r="D22" s="109"/>
      <c r="E22" s="109"/>
      <c r="F22" s="109"/>
      <c r="G22" s="109"/>
      <c r="H22" s="109"/>
      <c r="I22" s="109"/>
      <c r="J22" s="75">
        <f t="shared" si="2"/>
        <v>0</v>
      </c>
      <c r="K22" s="75">
        <f t="shared" si="3"/>
        <v>0</v>
      </c>
      <c r="L22" s="109"/>
      <c r="M22" s="110"/>
      <c r="N22" s="847"/>
    </row>
    <row r="23" spans="1:14" ht="12.75" customHeight="1" x14ac:dyDescent="0.25">
      <c r="A23" s="596" t="s">
        <v>1604</v>
      </c>
      <c r="B23" s="73"/>
      <c r="C23" s="109">
        <v>0</v>
      </c>
      <c r="D23" s="109"/>
      <c r="E23" s="109"/>
      <c r="F23" s="109"/>
      <c r="G23" s="109"/>
      <c r="H23" s="109"/>
      <c r="I23" s="109"/>
      <c r="J23" s="75">
        <f t="shared" si="2"/>
        <v>0</v>
      </c>
      <c r="K23" s="75">
        <f t="shared" si="3"/>
        <v>0</v>
      </c>
      <c r="L23" s="109"/>
      <c r="M23" s="110"/>
      <c r="N23" s="852"/>
    </row>
    <row r="24" spans="1:14" ht="12.75" customHeight="1" x14ac:dyDescent="0.25">
      <c r="A24" s="596" t="s">
        <v>1605</v>
      </c>
      <c r="B24" s="73"/>
      <c r="C24" s="109"/>
      <c r="D24" s="109"/>
      <c r="E24" s="109"/>
      <c r="F24" s="109"/>
      <c r="G24" s="109"/>
      <c r="H24" s="109"/>
      <c r="I24" s="109"/>
      <c r="J24" s="75">
        <f t="shared" si="2"/>
        <v>0</v>
      </c>
      <c r="K24" s="75">
        <f t="shared" si="3"/>
        <v>0</v>
      </c>
      <c r="L24" s="109"/>
      <c r="M24" s="110"/>
      <c r="N24" s="847"/>
    </row>
    <row r="25" spans="1:14" ht="12.75" customHeight="1" x14ac:dyDescent="0.25">
      <c r="A25" s="596" t="s">
        <v>1606</v>
      </c>
      <c r="B25" s="73"/>
      <c r="C25" s="109">
        <v>29500000</v>
      </c>
      <c r="D25" s="109"/>
      <c r="E25" s="109"/>
      <c r="F25" s="109"/>
      <c r="G25" s="109"/>
      <c r="H25" s="109"/>
      <c r="I25" s="109">
        <f>40300000-29500000</f>
        <v>10800000</v>
      </c>
      <c r="J25" s="75">
        <f t="shared" si="2"/>
        <v>10800000</v>
      </c>
      <c r="K25" s="75">
        <f t="shared" si="3"/>
        <v>40300000</v>
      </c>
      <c r="L25" s="109">
        <v>18950000</v>
      </c>
      <c r="M25" s="110">
        <v>20350000</v>
      </c>
      <c r="N25" s="852"/>
    </row>
    <row r="26" spans="1:14" ht="12.75" customHeight="1" x14ac:dyDescent="0.25">
      <c r="A26" s="596" t="s">
        <v>1607</v>
      </c>
      <c r="B26" s="73"/>
      <c r="C26" s="109"/>
      <c r="D26" s="109"/>
      <c r="E26" s="109"/>
      <c r="F26" s="109"/>
      <c r="G26" s="109"/>
      <c r="H26" s="109"/>
      <c r="I26" s="109"/>
      <c r="J26" s="75">
        <f t="shared" si="2"/>
        <v>0</v>
      </c>
      <c r="K26" s="75">
        <f t="shared" si="3"/>
        <v>0</v>
      </c>
      <c r="L26" s="109"/>
      <c r="M26" s="110"/>
      <c r="N26" s="847"/>
    </row>
    <row r="27" spans="1:14" ht="12.75" customHeight="1" x14ac:dyDescent="0.25">
      <c r="A27" s="596" t="s">
        <v>1594</v>
      </c>
      <c r="B27" s="73"/>
      <c r="C27" s="109"/>
      <c r="D27" s="109"/>
      <c r="E27" s="109"/>
      <c r="F27" s="109"/>
      <c r="G27" s="109"/>
      <c r="H27" s="109"/>
      <c r="I27" s="109"/>
      <c r="J27" s="75">
        <f t="shared" si="2"/>
        <v>0</v>
      </c>
      <c r="K27" s="75">
        <f t="shared" si="3"/>
        <v>0</v>
      </c>
      <c r="L27" s="109"/>
      <c r="M27" s="110"/>
      <c r="N27" s="852"/>
    </row>
    <row r="28" spans="1:14" ht="12.75" customHeight="1" x14ac:dyDescent="0.25">
      <c r="A28" s="597" t="s">
        <v>1608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2"/>
    </row>
    <row r="29" spans="1:14" ht="12.75" customHeight="1" x14ac:dyDescent="0.25">
      <c r="A29" s="596" t="s">
        <v>1609</v>
      </c>
      <c r="B29" s="73"/>
      <c r="C29" s="109"/>
      <c r="D29" s="109"/>
      <c r="E29" s="109"/>
      <c r="F29" s="109"/>
      <c r="G29" s="109"/>
      <c r="H29" s="109"/>
      <c r="I29" s="109"/>
      <c r="J29" s="75">
        <f t="shared" si="2"/>
        <v>0</v>
      </c>
      <c r="K29" s="75">
        <f t="shared" si="3"/>
        <v>0</v>
      </c>
      <c r="L29" s="109"/>
      <c r="M29" s="110"/>
      <c r="N29" s="852"/>
    </row>
    <row r="30" spans="1:14" ht="12.4" customHeight="1" x14ac:dyDescent="0.25">
      <c r="A30" s="596" t="s">
        <v>1610</v>
      </c>
      <c r="B30" s="73"/>
      <c r="C30" s="109"/>
      <c r="D30" s="109"/>
      <c r="E30" s="109"/>
      <c r="F30" s="109"/>
      <c r="G30" s="109"/>
      <c r="H30" s="109"/>
      <c r="I30" s="109"/>
      <c r="J30" s="75">
        <f t="shared" si="2"/>
        <v>0</v>
      </c>
      <c r="K30" s="75">
        <f t="shared" si="3"/>
        <v>0</v>
      </c>
      <c r="L30" s="109"/>
      <c r="M30" s="110"/>
      <c r="N30" s="852"/>
    </row>
    <row r="31" spans="1:14" ht="12.75" customHeight="1" x14ac:dyDescent="0.25">
      <c r="A31" s="596" t="s">
        <v>1611</v>
      </c>
      <c r="B31" s="73"/>
      <c r="C31" s="109"/>
      <c r="D31" s="109"/>
      <c r="E31" s="109"/>
      <c r="F31" s="109"/>
      <c r="G31" s="109"/>
      <c r="H31" s="109"/>
      <c r="I31" s="109"/>
      <c r="J31" s="75">
        <f t="shared" si="2"/>
        <v>0</v>
      </c>
      <c r="K31" s="75">
        <f t="shared" si="3"/>
        <v>0</v>
      </c>
      <c r="L31" s="109"/>
      <c r="M31" s="110"/>
      <c r="N31" s="852"/>
    </row>
    <row r="32" spans="1:14" ht="12.75" customHeight="1" x14ac:dyDescent="0.25">
      <c r="A32" s="596" t="s">
        <v>1612</v>
      </c>
      <c r="B32" s="73"/>
      <c r="C32" s="109"/>
      <c r="D32" s="109"/>
      <c r="E32" s="109"/>
      <c r="F32" s="109"/>
      <c r="G32" s="109"/>
      <c r="H32" s="109"/>
      <c r="I32" s="109"/>
      <c r="J32" s="75">
        <f t="shared" si="2"/>
        <v>0</v>
      </c>
      <c r="K32" s="75">
        <f t="shared" si="3"/>
        <v>0</v>
      </c>
      <c r="L32" s="109"/>
      <c r="M32" s="110"/>
      <c r="N32" s="847"/>
    </row>
    <row r="33" spans="1:14" ht="12.75" customHeight="1" x14ac:dyDescent="0.25">
      <c r="A33" s="596" t="s">
        <v>1613</v>
      </c>
      <c r="B33" s="73"/>
      <c r="C33" s="109"/>
      <c r="D33" s="109"/>
      <c r="E33" s="109"/>
      <c r="F33" s="109"/>
      <c r="G33" s="109"/>
      <c r="H33" s="109"/>
      <c r="I33" s="109"/>
      <c r="J33" s="75">
        <f t="shared" si="2"/>
        <v>0</v>
      </c>
      <c r="K33" s="75">
        <f t="shared" si="3"/>
        <v>0</v>
      </c>
      <c r="L33" s="109"/>
      <c r="M33" s="110"/>
      <c r="N33" s="852"/>
    </row>
    <row r="34" spans="1:14" ht="12.75" customHeight="1" x14ac:dyDescent="0.25">
      <c r="A34" s="596" t="s">
        <v>1614</v>
      </c>
      <c r="B34" s="73"/>
      <c r="C34" s="109"/>
      <c r="D34" s="109"/>
      <c r="E34" s="109"/>
      <c r="F34" s="109"/>
      <c r="G34" s="109"/>
      <c r="H34" s="109"/>
      <c r="I34" s="109"/>
      <c r="J34" s="75">
        <f t="shared" si="2"/>
        <v>0</v>
      </c>
      <c r="K34" s="75">
        <f t="shared" si="3"/>
        <v>0</v>
      </c>
      <c r="L34" s="109"/>
      <c r="M34" s="110"/>
      <c r="N34" s="847"/>
    </row>
    <row r="35" spans="1:14" ht="12.75" customHeight="1" x14ac:dyDescent="0.25">
      <c r="A35" s="596" t="s">
        <v>1615</v>
      </c>
      <c r="B35" s="73"/>
      <c r="C35" s="109"/>
      <c r="D35" s="109"/>
      <c r="E35" s="109"/>
      <c r="F35" s="109"/>
      <c r="G35" s="109"/>
      <c r="H35" s="109"/>
      <c r="I35" s="109"/>
      <c r="J35" s="75">
        <f t="shared" si="2"/>
        <v>0</v>
      </c>
      <c r="K35" s="75">
        <f t="shared" si="3"/>
        <v>0</v>
      </c>
      <c r="L35" s="109"/>
      <c r="M35" s="110"/>
      <c r="N35" s="852"/>
    </row>
    <row r="36" spans="1:14" ht="12.75" customHeight="1" x14ac:dyDescent="0.25">
      <c r="A36" s="596" t="s">
        <v>1616</v>
      </c>
      <c r="B36" s="73"/>
      <c r="C36" s="109"/>
      <c r="D36" s="109"/>
      <c r="E36" s="109"/>
      <c r="F36" s="109"/>
      <c r="G36" s="109"/>
      <c r="H36" s="109"/>
      <c r="I36" s="109"/>
      <c r="J36" s="75">
        <f t="shared" si="2"/>
        <v>0</v>
      </c>
      <c r="K36" s="75">
        <f t="shared" si="3"/>
        <v>0</v>
      </c>
      <c r="L36" s="109"/>
      <c r="M36" s="110"/>
      <c r="N36" s="847"/>
    </row>
    <row r="37" spans="1:14" ht="12.75" customHeight="1" x14ac:dyDescent="0.25">
      <c r="A37" s="596" t="s">
        <v>1617</v>
      </c>
      <c r="B37" s="73"/>
      <c r="C37" s="109"/>
      <c r="D37" s="109"/>
      <c r="E37" s="109"/>
      <c r="F37" s="109"/>
      <c r="G37" s="109"/>
      <c r="H37" s="109"/>
      <c r="I37" s="109"/>
      <c r="J37" s="75">
        <f t="shared" si="2"/>
        <v>0</v>
      </c>
      <c r="K37" s="75">
        <f t="shared" si="3"/>
        <v>0</v>
      </c>
      <c r="L37" s="109"/>
      <c r="M37" s="110"/>
      <c r="N37" s="852"/>
    </row>
    <row r="38" spans="1:14" ht="12.75" customHeight="1" x14ac:dyDescent="0.25">
      <c r="A38" s="596" t="s">
        <v>1594</v>
      </c>
      <c r="B38" s="73"/>
      <c r="C38" s="109"/>
      <c r="D38" s="109"/>
      <c r="E38" s="109"/>
      <c r="F38" s="109"/>
      <c r="G38" s="109"/>
      <c r="H38" s="109"/>
      <c r="I38" s="109"/>
      <c r="J38" s="75">
        <f t="shared" si="2"/>
        <v>0</v>
      </c>
      <c r="K38" s="75">
        <f t="shared" si="3"/>
        <v>0</v>
      </c>
      <c r="L38" s="109"/>
      <c r="M38" s="110"/>
      <c r="N38" s="852"/>
    </row>
    <row r="39" spans="1:14" ht="12.75" customHeight="1" x14ac:dyDescent="0.25">
      <c r="A39" s="597" t="s">
        <v>1618</v>
      </c>
      <c r="B39" s="73"/>
      <c r="C39" s="1135">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1619</v>
      </c>
      <c r="B40" s="73"/>
      <c r="C40" s="109"/>
      <c r="D40" s="109"/>
      <c r="E40" s="109"/>
      <c r="F40" s="109"/>
      <c r="G40" s="109"/>
      <c r="H40" s="109"/>
      <c r="I40" s="109"/>
      <c r="J40" s="75">
        <f t="shared" si="2"/>
        <v>0</v>
      </c>
      <c r="K40" s="75">
        <f t="shared" si="3"/>
        <v>0</v>
      </c>
      <c r="L40" s="109"/>
      <c r="M40" s="110"/>
      <c r="N40" s="847"/>
    </row>
    <row r="41" spans="1:14" ht="12.75" customHeight="1" x14ac:dyDescent="0.25">
      <c r="A41" s="596" t="s">
        <v>484</v>
      </c>
      <c r="B41" s="73"/>
      <c r="C41" s="109"/>
      <c r="D41" s="109"/>
      <c r="E41" s="109"/>
      <c r="F41" s="109"/>
      <c r="G41" s="109"/>
      <c r="H41" s="109"/>
      <c r="I41" s="109"/>
      <c r="J41" s="75">
        <f t="shared" si="2"/>
        <v>0</v>
      </c>
      <c r="K41" s="75">
        <f t="shared" si="3"/>
        <v>0</v>
      </c>
      <c r="L41" s="109"/>
      <c r="M41" s="110"/>
      <c r="N41" s="847"/>
    </row>
    <row r="42" spans="1:14" ht="12.75" customHeight="1" x14ac:dyDescent="0.25">
      <c r="A42" s="596" t="s">
        <v>1620</v>
      </c>
      <c r="B42" s="73"/>
      <c r="C42" s="109"/>
      <c r="D42" s="109"/>
      <c r="E42" s="109"/>
      <c r="F42" s="109"/>
      <c r="G42" s="109"/>
      <c r="H42" s="109"/>
      <c r="I42" s="109"/>
      <c r="J42" s="75">
        <f t="shared" si="2"/>
        <v>0</v>
      </c>
      <c r="K42" s="75">
        <f t="shared" si="3"/>
        <v>0</v>
      </c>
      <c r="L42" s="109"/>
      <c r="M42" s="110"/>
      <c r="N42" s="852"/>
    </row>
    <row r="43" spans="1:14" ht="12.75" customHeight="1" x14ac:dyDescent="0.25">
      <c r="A43" s="596" t="s">
        <v>1621</v>
      </c>
      <c r="B43" s="73"/>
      <c r="C43" s="109"/>
      <c r="D43" s="109"/>
      <c r="E43" s="109"/>
      <c r="F43" s="109"/>
      <c r="G43" s="109"/>
      <c r="H43" s="109"/>
      <c r="I43" s="109"/>
      <c r="J43" s="75">
        <f t="shared" si="2"/>
        <v>0</v>
      </c>
      <c r="K43" s="75">
        <f t="shared" si="3"/>
        <v>0</v>
      </c>
      <c r="L43" s="109"/>
      <c r="M43" s="110"/>
      <c r="N43" s="852"/>
    </row>
    <row r="44" spans="1:14" ht="12.75" customHeight="1" x14ac:dyDescent="0.25">
      <c r="A44" s="596" t="s">
        <v>1622</v>
      </c>
      <c r="B44" s="73"/>
      <c r="C44" s="109"/>
      <c r="D44" s="109"/>
      <c r="E44" s="109"/>
      <c r="F44" s="109"/>
      <c r="G44" s="109"/>
      <c r="H44" s="109"/>
      <c r="I44" s="109"/>
      <c r="J44" s="75">
        <f t="shared" si="2"/>
        <v>0</v>
      </c>
      <c r="K44" s="75">
        <f t="shared" si="3"/>
        <v>0</v>
      </c>
      <c r="L44" s="109"/>
      <c r="M44" s="110"/>
      <c r="N44" s="847"/>
    </row>
    <row r="45" spans="1:14" ht="12.75" customHeight="1" x14ac:dyDescent="0.25">
      <c r="A45" s="596" t="s">
        <v>1594</v>
      </c>
      <c r="B45" s="73"/>
      <c r="C45" s="109"/>
      <c r="D45" s="109"/>
      <c r="E45" s="109"/>
      <c r="F45" s="109"/>
      <c r="G45" s="109"/>
      <c r="H45" s="109"/>
      <c r="I45" s="109"/>
      <c r="J45" s="75">
        <f t="shared" si="2"/>
        <v>0</v>
      </c>
      <c r="K45" s="75">
        <f t="shared" si="3"/>
        <v>0</v>
      </c>
      <c r="L45" s="109"/>
      <c r="M45" s="110"/>
      <c r="N45" s="852"/>
    </row>
    <row r="46" spans="1:14" ht="12.75" customHeight="1" x14ac:dyDescent="0.25">
      <c r="A46" s="597" t="s">
        <v>1623</v>
      </c>
      <c r="B46" s="73"/>
      <c r="C46" s="1135">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1624</v>
      </c>
      <c r="B47" s="73"/>
      <c r="C47" s="109"/>
      <c r="D47" s="109"/>
      <c r="E47" s="109"/>
      <c r="F47" s="109"/>
      <c r="G47" s="109"/>
      <c r="H47" s="109"/>
      <c r="I47" s="109"/>
      <c r="J47" s="75">
        <f t="shared" si="2"/>
        <v>0</v>
      </c>
      <c r="K47" s="75">
        <f t="shared" si="3"/>
        <v>0</v>
      </c>
      <c r="L47" s="109"/>
      <c r="M47" s="110"/>
      <c r="N47" s="847"/>
    </row>
    <row r="48" spans="1:14" ht="12.75" customHeight="1" x14ac:dyDescent="0.25">
      <c r="A48" s="596" t="s">
        <v>1625</v>
      </c>
      <c r="B48" s="73"/>
      <c r="C48" s="109"/>
      <c r="D48" s="109"/>
      <c r="E48" s="109"/>
      <c r="F48" s="109"/>
      <c r="G48" s="109"/>
      <c r="H48" s="109"/>
      <c r="I48" s="109"/>
      <c r="J48" s="75">
        <f t="shared" si="2"/>
        <v>0</v>
      </c>
      <c r="K48" s="75">
        <f t="shared" si="3"/>
        <v>0</v>
      </c>
      <c r="L48" s="109"/>
      <c r="M48" s="110"/>
      <c r="N48" s="847"/>
    </row>
    <row r="49" spans="1:14" ht="12.75" customHeight="1" x14ac:dyDescent="0.25">
      <c r="A49" s="596" t="s">
        <v>1626</v>
      </c>
      <c r="B49" s="73"/>
      <c r="C49" s="109"/>
      <c r="D49" s="109"/>
      <c r="E49" s="109"/>
      <c r="F49" s="109"/>
      <c r="G49" s="109"/>
      <c r="H49" s="109"/>
      <c r="I49" s="109"/>
      <c r="J49" s="75">
        <f t="shared" si="2"/>
        <v>0</v>
      </c>
      <c r="K49" s="75">
        <f t="shared" si="3"/>
        <v>0</v>
      </c>
      <c r="L49" s="109"/>
      <c r="M49" s="110"/>
      <c r="N49" s="852"/>
    </row>
    <row r="50" spans="1:14" ht="12.75" customHeight="1" x14ac:dyDescent="0.25">
      <c r="A50" s="596" t="s">
        <v>1627</v>
      </c>
      <c r="B50" s="73"/>
      <c r="C50" s="109"/>
      <c r="D50" s="109"/>
      <c r="E50" s="109"/>
      <c r="F50" s="109"/>
      <c r="G50" s="109"/>
      <c r="H50" s="109"/>
      <c r="I50" s="109"/>
      <c r="J50" s="75">
        <f t="shared" si="2"/>
        <v>0</v>
      </c>
      <c r="K50" s="75">
        <f t="shared" si="3"/>
        <v>0</v>
      </c>
      <c r="L50" s="109"/>
      <c r="M50" s="110"/>
      <c r="N50" s="852"/>
    </row>
    <row r="51" spans="1:14" ht="12.75" customHeight="1" x14ac:dyDescent="0.25">
      <c r="A51" s="596" t="s">
        <v>1628</v>
      </c>
      <c r="B51" s="73"/>
      <c r="C51" s="109"/>
      <c r="D51" s="109"/>
      <c r="E51" s="109"/>
      <c r="F51" s="109"/>
      <c r="G51" s="109"/>
      <c r="H51" s="109"/>
      <c r="I51" s="109"/>
      <c r="J51" s="75">
        <f t="shared" si="2"/>
        <v>0</v>
      </c>
      <c r="K51" s="75">
        <f t="shared" si="3"/>
        <v>0</v>
      </c>
      <c r="L51" s="109"/>
      <c r="M51" s="110"/>
      <c r="N51" s="852"/>
    </row>
    <row r="52" spans="1:14" ht="12.75" customHeight="1" x14ac:dyDescent="0.25">
      <c r="A52" s="596" t="s">
        <v>1629</v>
      </c>
      <c r="B52" s="73"/>
      <c r="C52" s="109"/>
      <c r="D52" s="109"/>
      <c r="E52" s="109"/>
      <c r="F52" s="109"/>
      <c r="G52" s="109"/>
      <c r="H52" s="109"/>
      <c r="I52" s="109"/>
      <c r="J52" s="75">
        <f t="shared" si="2"/>
        <v>0</v>
      </c>
      <c r="K52" s="75">
        <f t="shared" si="3"/>
        <v>0</v>
      </c>
      <c r="L52" s="109"/>
      <c r="M52" s="110"/>
      <c r="N52" s="847"/>
    </row>
    <row r="53" spans="1:14" ht="12.75" customHeight="1" x14ac:dyDescent="0.25">
      <c r="A53" s="596" t="s">
        <v>1594</v>
      </c>
      <c r="B53" s="73"/>
      <c r="C53" s="109"/>
      <c r="D53" s="109"/>
      <c r="E53" s="109"/>
      <c r="F53" s="109"/>
      <c r="G53" s="109"/>
      <c r="H53" s="109"/>
      <c r="I53" s="109"/>
      <c r="J53" s="75">
        <f t="shared" si="2"/>
        <v>0</v>
      </c>
      <c r="K53" s="75">
        <f t="shared" si="3"/>
        <v>0</v>
      </c>
      <c r="L53" s="109"/>
      <c r="M53" s="110"/>
      <c r="N53" s="852"/>
    </row>
    <row r="54" spans="1:14" ht="12.75" customHeight="1" x14ac:dyDescent="0.25">
      <c r="A54" s="595" t="s">
        <v>1630</v>
      </c>
      <c r="B54" s="73"/>
      <c r="C54" s="1135">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1631</v>
      </c>
      <c r="B55" s="73"/>
      <c r="C55" s="109"/>
      <c r="D55" s="109"/>
      <c r="E55" s="109"/>
      <c r="F55" s="109"/>
      <c r="G55" s="109"/>
      <c r="H55" s="109"/>
      <c r="I55" s="109"/>
      <c r="J55" s="75">
        <f t="shared" si="2"/>
        <v>0</v>
      </c>
      <c r="K55" s="75">
        <f t="shared" si="3"/>
        <v>0</v>
      </c>
      <c r="L55" s="109"/>
      <c r="M55" s="110"/>
      <c r="N55" s="847"/>
    </row>
    <row r="56" spans="1:14" ht="12.75" customHeight="1" x14ac:dyDescent="0.25">
      <c r="A56" s="596" t="s">
        <v>1632</v>
      </c>
      <c r="B56" s="73"/>
      <c r="C56" s="109"/>
      <c r="D56" s="109"/>
      <c r="E56" s="109"/>
      <c r="F56" s="109"/>
      <c r="G56" s="109"/>
      <c r="H56" s="109"/>
      <c r="I56" s="109"/>
      <c r="J56" s="75">
        <f t="shared" si="2"/>
        <v>0</v>
      </c>
      <c r="K56" s="75">
        <f t="shared" si="3"/>
        <v>0</v>
      </c>
      <c r="L56" s="109"/>
      <c r="M56" s="110"/>
      <c r="N56" s="847"/>
    </row>
    <row r="57" spans="1:14" ht="12.75" customHeight="1" x14ac:dyDescent="0.25">
      <c r="A57" s="596" t="s">
        <v>1633</v>
      </c>
      <c r="B57" s="73"/>
      <c r="C57" s="109"/>
      <c r="D57" s="109"/>
      <c r="E57" s="109"/>
      <c r="F57" s="109"/>
      <c r="G57" s="109"/>
      <c r="H57" s="109"/>
      <c r="I57" s="109"/>
      <c r="J57" s="75">
        <f t="shared" si="2"/>
        <v>0</v>
      </c>
      <c r="K57" s="75">
        <f t="shared" si="3"/>
        <v>0</v>
      </c>
      <c r="L57" s="109"/>
      <c r="M57" s="110"/>
      <c r="N57" s="852"/>
    </row>
    <row r="58" spans="1:14" ht="12.75" customHeight="1" x14ac:dyDescent="0.25">
      <c r="A58" s="596" t="s">
        <v>1596</v>
      </c>
      <c r="B58" s="73"/>
      <c r="C58" s="109"/>
      <c r="D58" s="109"/>
      <c r="E58" s="109"/>
      <c r="F58" s="109"/>
      <c r="G58" s="109"/>
      <c r="H58" s="109"/>
      <c r="I58" s="109"/>
      <c r="J58" s="75">
        <f t="shared" si="2"/>
        <v>0</v>
      </c>
      <c r="K58" s="75">
        <f t="shared" si="3"/>
        <v>0</v>
      </c>
      <c r="L58" s="109"/>
      <c r="M58" s="110"/>
      <c r="N58" s="852"/>
    </row>
    <row r="59" spans="1:14" ht="12.75" customHeight="1" x14ac:dyDescent="0.25">
      <c r="A59" s="596" t="s">
        <v>1597</v>
      </c>
      <c r="B59" s="73"/>
      <c r="C59" s="109"/>
      <c r="D59" s="109"/>
      <c r="E59" s="109"/>
      <c r="F59" s="109"/>
      <c r="G59" s="109"/>
      <c r="H59" s="109"/>
      <c r="I59" s="109"/>
      <c r="J59" s="75">
        <f t="shared" si="2"/>
        <v>0</v>
      </c>
      <c r="K59" s="75">
        <f t="shared" si="3"/>
        <v>0</v>
      </c>
      <c r="L59" s="109"/>
      <c r="M59" s="110"/>
      <c r="N59" s="852"/>
    </row>
    <row r="60" spans="1:14" ht="12.75" customHeight="1" x14ac:dyDescent="0.25">
      <c r="A60" s="596" t="s">
        <v>1598</v>
      </c>
      <c r="B60" s="73"/>
      <c r="C60" s="109"/>
      <c r="D60" s="109"/>
      <c r="E60" s="109"/>
      <c r="F60" s="109"/>
      <c r="G60" s="109"/>
      <c r="H60" s="109"/>
      <c r="I60" s="109"/>
      <c r="J60" s="75">
        <f t="shared" si="2"/>
        <v>0</v>
      </c>
      <c r="K60" s="75">
        <f t="shared" si="3"/>
        <v>0</v>
      </c>
      <c r="L60" s="109"/>
      <c r="M60" s="110"/>
      <c r="N60" s="852"/>
    </row>
    <row r="61" spans="1:14" ht="12.75" customHeight="1" x14ac:dyDescent="0.25">
      <c r="A61" s="596" t="s">
        <v>1604</v>
      </c>
      <c r="B61" s="73"/>
      <c r="C61" s="109"/>
      <c r="D61" s="109"/>
      <c r="E61" s="109"/>
      <c r="F61" s="109"/>
      <c r="G61" s="109"/>
      <c r="H61" s="109"/>
      <c r="I61" s="109"/>
      <c r="J61" s="75">
        <f t="shared" si="2"/>
        <v>0</v>
      </c>
      <c r="K61" s="75">
        <f t="shared" si="3"/>
        <v>0</v>
      </c>
      <c r="L61" s="109"/>
      <c r="M61" s="110"/>
      <c r="N61" s="852"/>
    </row>
    <row r="62" spans="1:14" ht="12.75" customHeight="1" x14ac:dyDescent="0.25">
      <c r="A62" s="596" t="s">
        <v>1607</v>
      </c>
      <c r="B62" s="73"/>
      <c r="C62" s="109"/>
      <c r="D62" s="109"/>
      <c r="E62" s="109"/>
      <c r="F62" s="109"/>
      <c r="G62" s="109"/>
      <c r="H62" s="109"/>
      <c r="I62" s="109"/>
      <c r="J62" s="75">
        <f t="shared" si="2"/>
        <v>0</v>
      </c>
      <c r="K62" s="75">
        <f t="shared" si="3"/>
        <v>0</v>
      </c>
      <c r="L62" s="109"/>
      <c r="M62" s="110"/>
      <c r="N62" s="847"/>
    </row>
    <row r="63" spans="1:14" ht="12.75" customHeight="1" x14ac:dyDescent="0.25">
      <c r="A63" s="596" t="s">
        <v>1594</v>
      </c>
      <c r="B63" s="73"/>
      <c r="C63" s="109"/>
      <c r="D63" s="109"/>
      <c r="E63" s="109"/>
      <c r="F63" s="109"/>
      <c r="G63" s="109"/>
      <c r="H63" s="109"/>
      <c r="I63" s="109"/>
      <c r="J63" s="75">
        <f t="shared" si="2"/>
        <v>0</v>
      </c>
      <c r="K63" s="75">
        <f t="shared" si="3"/>
        <v>0</v>
      </c>
      <c r="L63" s="109"/>
      <c r="M63" s="110"/>
      <c r="N63" s="852"/>
    </row>
    <row r="64" spans="1:14" ht="12.75" customHeight="1" x14ac:dyDescent="0.25">
      <c r="A64" s="597" t="s">
        <v>1634</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1635</v>
      </c>
      <c r="B65" s="73"/>
      <c r="C65" s="109"/>
      <c r="D65" s="109"/>
      <c r="E65" s="109"/>
      <c r="F65" s="109"/>
      <c r="G65" s="109"/>
      <c r="H65" s="109"/>
      <c r="I65" s="109"/>
      <c r="J65" s="75">
        <f t="shared" si="2"/>
        <v>0</v>
      </c>
      <c r="K65" s="75">
        <f t="shared" si="3"/>
        <v>0</v>
      </c>
      <c r="L65" s="109"/>
      <c r="M65" s="110"/>
      <c r="N65" s="847"/>
    </row>
    <row r="66" spans="1:14" ht="12.75" customHeight="1" x14ac:dyDescent="0.25">
      <c r="A66" s="596" t="s">
        <v>1636</v>
      </c>
      <c r="B66" s="73"/>
      <c r="C66" s="109"/>
      <c r="D66" s="109"/>
      <c r="E66" s="109"/>
      <c r="F66" s="109"/>
      <c r="G66" s="109"/>
      <c r="H66" s="109"/>
      <c r="I66" s="109"/>
      <c r="J66" s="75">
        <f t="shared" si="2"/>
        <v>0</v>
      </c>
      <c r="K66" s="75">
        <f t="shared" si="3"/>
        <v>0</v>
      </c>
      <c r="L66" s="109"/>
      <c r="M66" s="110"/>
      <c r="N66" s="847"/>
    </row>
    <row r="67" spans="1:14" ht="12.75" customHeight="1" x14ac:dyDescent="0.25">
      <c r="A67" s="596" t="s">
        <v>1637</v>
      </c>
      <c r="B67" s="73"/>
      <c r="C67" s="109"/>
      <c r="D67" s="109"/>
      <c r="E67" s="109"/>
      <c r="F67" s="109"/>
      <c r="G67" s="109"/>
      <c r="H67" s="109"/>
      <c r="I67" s="109"/>
      <c r="J67" s="75">
        <f t="shared" si="2"/>
        <v>0</v>
      </c>
      <c r="K67" s="75">
        <f t="shared" si="3"/>
        <v>0</v>
      </c>
      <c r="L67" s="109"/>
      <c r="M67" s="110"/>
      <c r="N67" s="852"/>
    </row>
    <row r="68" spans="1:14" ht="12.75" customHeight="1" x14ac:dyDescent="0.25">
      <c r="A68" s="596" t="s">
        <v>1638</v>
      </c>
      <c r="B68" s="73"/>
      <c r="C68" s="109"/>
      <c r="D68" s="109"/>
      <c r="E68" s="109"/>
      <c r="F68" s="109"/>
      <c r="G68" s="109"/>
      <c r="H68" s="109"/>
      <c r="I68" s="109"/>
      <c r="J68" s="75">
        <f t="shared" si="2"/>
        <v>0</v>
      </c>
      <c r="K68" s="75">
        <f t="shared" si="3"/>
        <v>0</v>
      </c>
      <c r="L68" s="109"/>
      <c r="M68" s="110"/>
      <c r="N68" s="847"/>
    </row>
    <row r="69" spans="1:14" ht="12.75" customHeight="1" x14ac:dyDescent="0.25">
      <c r="A69" s="596" t="s">
        <v>1594</v>
      </c>
      <c r="B69" s="73"/>
      <c r="C69" s="109"/>
      <c r="D69" s="109"/>
      <c r="E69" s="109"/>
      <c r="F69" s="109"/>
      <c r="G69" s="109"/>
      <c r="H69" s="109"/>
      <c r="I69" s="109"/>
      <c r="J69" s="75">
        <f t="shared" si="2"/>
        <v>0</v>
      </c>
      <c r="K69" s="75">
        <f t="shared" si="3"/>
        <v>0</v>
      </c>
      <c r="L69" s="109"/>
      <c r="M69" s="110"/>
      <c r="N69" s="852"/>
    </row>
    <row r="70" spans="1:14" ht="12.75" customHeight="1" x14ac:dyDescent="0.25">
      <c r="A70" s="595" t="s">
        <v>1639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2"/>
    </row>
    <row r="71" spans="1:14" ht="12.75" customHeight="1" x14ac:dyDescent="0.25">
      <c r="A71" s="596" t="s">
        <v>1640</v>
      </c>
      <c r="B71" s="73"/>
      <c r="C71" s="109"/>
      <c r="D71" s="109"/>
      <c r="E71" s="109"/>
      <c r="F71" s="109"/>
      <c r="G71" s="109"/>
      <c r="H71" s="109"/>
      <c r="I71" s="109"/>
      <c r="J71" s="75">
        <f t="shared" si="2"/>
        <v>0</v>
      </c>
      <c r="K71" s="75">
        <f t="shared" si="3"/>
        <v>0</v>
      </c>
      <c r="L71" s="109"/>
      <c r="M71" s="110"/>
      <c r="N71" s="852"/>
    </row>
    <row r="72" spans="1:14" ht="12.75" customHeight="1" x14ac:dyDescent="0.25">
      <c r="A72" s="596" t="s">
        <v>1641</v>
      </c>
      <c r="B72" s="73"/>
      <c r="C72" s="109"/>
      <c r="D72" s="109"/>
      <c r="E72" s="109"/>
      <c r="F72" s="109"/>
      <c r="G72" s="109"/>
      <c r="H72" s="109"/>
      <c r="I72" s="109"/>
      <c r="J72" s="75">
        <f t="shared" si="2"/>
        <v>0</v>
      </c>
      <c r="K72" s="75">
        <f t="shared" si="3"/>
        <v>0</v>
      </c>
      <c r="L72" s="109"/>
      <c r="M72" s="110"/>
      <c r="N72" s="852"/>
    </row>
    <row r="73" spans="1:14" ht="12.75" customHeight="1" x14ac:dyDescent="0.25">
      <c r="A73" s="596" t="s">
        <v>1642</v>
      </c>
      <c r="B73" s="73"/>
      <c r="C73" s="109"/>
      <c r="D73" s="109"/>
      <c r="E73" s="109"/>
      <c r="F73" s="109"/>
      <c r="G73" s="109"/>
      <c r="H73" s="109"/>
      <c r="I73" s="109"/>
      <c r="J73" s="75">
        <f t="shared" ref="J73:J136" si="12">SUM(E73:I73)</f>
        <v>0</v>
      </c>
      <c r="K73" s="75">
        <f t="shared" ref="K73:K136" si="13">IF(D73=0,C73+J73,D73+J73)</f>
        <v>0</v>
      </c>
      <c r="L73" s="109"/>
      <c r="M73" s="110"/>
      <c r="N73" s="852"/>
    </row>
    <row r="74" spans="1:14" ht="12.75" customHeight="1" x14ac:dyDescent="0.25">
      <c r="A74" s="596" t="s">
        <v>1594</v>
      </c>
      <c r="B74" s="73"/>
      <c r="C74" s="109"/>
      <c r="D74" s="109"/>
      <c r="E74" s="109"/>
      <c r="F74" s="109"/>
      <c r="G74" s="109"/>
      <c r="H74" s="109"/>
      <c r="I74" s="109"/>
      <c r="J74" s="75">
        <f t="shared" si="12"/>
        <v>0</v>
      </c>
      <c r="K74" s="75">
        <f t="shared" si="13"/>
        <v>0</v>
      </c>
      <c r="L74" s="109"/>
      <c r="M74" s="110"/>
      <c r="N74" s="852"/>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1644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2"/>
    </row>
    <row r="78" spans="1:14" ht="12.75" customHeight="1" x14ac:dyDescent="0.25">
      <c r="A78" s="596" t="s">
        <v>1645</v>
      </c>
      <c r="B78" s="73"/>
      <c r="C78" s="130"/>
      <c r="D78" s="109"/>
      <c r="E78" s="109"/>
      <c r="F78" s="109"/>
      <c r="G78" s="109"/>
      <c r="H78" s="109"/>
      <c r="I78" s="109"/>
      <c r="J78" s="75">
        <f t="shared" si="12"/>
        <v>0</v>
      </c>
      <c r="K78" s="75">
        <f t="shared" si="13"/>
        <v>0</v>
      </c>
      <c r="L78" s="109"/>
      <c r="M78" s="110"/>
      <c r="N78" s="128"/>
    </row>
    <row r="79" spans="1:14" ht="12.75" customHeight="1" x14ac:dyDescent="0.25">
      <c r="A79" s="596" t="s">
        <v>1646</v>
      </c>
      <c r="B79" s="73"/>
      <c r="C79" s="130"/>
      <c r="D79" s="109"/>
      <c r="E79" s="109"/>
      <c r="F79" s="109"/>
      <c r="G79" s="109"/>
      <c r="H79" s="109"/>
      <c r="I79" s="109"/>
      <c r="J79" s="75">
        <f t="shared" si="12"/>
        <v>0</v>
      </c>
      <c r="K79" s="75">
        <f t="shared" si="13"/>
        <v>0</v>
      </c>
      <c r="L79" s="109"/>
      <c r="M79" s="110"/>
      <c r="N79" s="128"/>
    </row>
    <row r="80" spans="1:14" ht="12.75" customHeight="1" x14ac:dyDescent="0.25">
      <c r="A80" s="596" t="s">
        <v>1647</v>
      </c>
      <c r="B80" s="73"/>
      <c r="C80" s="130"/>
      <c r="D80" s="109"/>
      <c r="E80" s="109"/>
      <c r="F80" s="109"/>
      <c r="G80" s="109"/>
      <c r="H80" s="109"/>
      <c r="I80" s="109"/>
      <c r="J80" s="75">
        <f t="shared" si="12"/>
        <v>0</v>
      </c>
      <c r="K80" s="75">
        <f t="shared" si="13"/>
        <v>0</v>
      </c>
      <c r="L80" s="109"/>
      <c r="M80" s="110"/>
      <c r="N80" s="128"/>
    </row>
    <row r="81" spans="1:14" ht="12.75" customHeight="1" x14ac:dyDescent="0.25">
      <c r="A81" s="596" t="s">
        <v>1648</v>
      </c>
      <c r="B81" s="73"/>
      <c r="C81" s="130"/>
      <c r="D81" s="109"/>
      <c r="E81" s="109"/>
      <c r="F81" s="109"/>
      <c r="G81" s="109"/>
      <c r="H81" s="109"/>
      <c r="I81" s="109"/>
      <c r="J81" s="75">
        <f t="shared" si="12"/>
        <v>0</v>
      </c>
      <c r="K81" s="75">
        <f t="shared" si="13"/>
        <v>0</v>
      </c>
      <c r="L81" s="109"/>
      <c r="M81" s="110"/>
      <c r="N81" s="128"/>
    </row>
    <row r="82" spans="1:14" ht="12.75" customHeight="1" x14ac:dyDescent="0.25">
      <c r="A82" s="596" t="s">
        <v>1649</v>
      </c>
      <c r="B82" s="73"/>
      <c r="C82" s="130"/>
      <c r="D82" s="109"/>
      <c r="E82" s="109"/>
      <c r="F82" s="109"/>
      <c r="G82" s="109"/>
      <c r="H82" s="109"/>
      <c r="I82" s="109"/>
      <c r="J82" s="75">
        <f t="shared" si="12"/>
        <v>0</v>
      </c>
      <c r="K82" s="75">
        <f t="shared" si="13"/>
        <v>0</v>
      </c>
      <c r="L82" s="109"/>
      <c r="M82" s="110"/>
      <c r="N82" s="128"/>
    </row>
    <row r="83" spans="1:14" ht="12.75" customHeight="1" x14ac:dyDescent="0.25">
      <c r="A83" s="596" t="s">
        <v>1650</v>
      </c>
      <c r="B83" s="73"/>
      <c r="C83" s="130"/>
      <c r="D83" s="109"/>
      <c r="E83" s="109"/>
      <c r="F83" s="109"/>
      <c r="G83" s="109"/>
      <c r="H83" s="109"/>
      <c r="I83" s="109"/>
      <c r="J83" s="75">
        <f t="shared" si="12"/>
        <v>0</v>
      </c>
      <c r="K83" s="75">
        <f t="shared" si="13"/>
        <v>0</v>
      </c>
      <c r="L83" s="109"/>
      <c r="M83" s="110"/>
      <c r="N83" s="128"/>
    </row>
    <row r="84" spans="1:14" ht="12.75" customHeight="1" x14ac:dyDescent="0.25">
      <c r="A84" s="596" t="s">
        <v>1651</v>
      </c>
      <c r="B84" s="73"/>
      <c r="C84" s="130"/>
      <c r="D84" s="109"/>
      <c r="E84" s="109"/>
      <c r="F84" s="109"/>
      <c r="G84" s="109"/>
      <c r="H84" s="109"/>
      <c r="I84" s="109"/>
      <c r="J84" s="75">
        <f t="shared" si="12"/>
        <v>0</v>
      </c>
      <c r="K84" s="75">
        <f t="shared" si="13"/>
        <v>0</v>
      </c>
      <c r="L84" s="109"/>
      <c r="M84" s="110"/>
      <c r="N84" s="128"/>
    </row>
    <row r="85" spans="1:14" ht="12.75" customHeight="1" x14ac:dyDescent="0.25">
      <c r="A85" s="596" t="s">
        <v>1652</v>
      </c>
      <c r="B85" s="73"/>
      <c r="C85" s="130"/>
      <c r="D85" s="109"/>
      <c r="E85" s="109"/>
      <c r="F85" s="109"/>
      <c r="G85" s="109"/>
      <c r="H85" s="109"/>
      <c r="I85" s="109"/>
      <c r="J85" s="75">
        <f t="shared" si="12"/>
        <v>0</v>
      </c>
      <c r="K85" s="75">
        <f t="shared" si="13"/>
        <v>0</v>
      </c>
      <c r="L85" s="109"/>
      <c r="M85" s="110"/>
      <c r="N85" s="128"/>
    </row>
    <row r="86" spans="1:14" ht="12.75" customHeight="1" x14ac:dyDescent="0.25">
      <c r="A86" s="596" t="s">
        <v>1532</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1653</v>
      </c>
      <c r="B88" s="73"/>
      <c r="C88" s="130"/>
      <c r="D88" s="109"/>
      <c r="E88" s="109"/>
      <c r="F88" s="109"/>
      <c r="G88" s="109"/>
      <c r="H88" s="109"/>
      <c r="I88" s="109"/>
      <c r="J88" s="75">
        <f t="shared" si="12"/>
        <v>0</v>
      </c>
      <c r="K88" s="75">
        <f t="shared" si="13"/>
        <v>0</v>
      </c>
      <c r="L88" s="109"/>
      <c r="M88" s="110"/>
      <c r="N88" s="128"/>
    </row>
    <row r="89" spans="1:14" ht="12.75" customHeight="1" x14ac:dyDescent="0.25">
      <c r="A89" s="596" t="s">
        <v>1654</v>
      </c>
      <c r="B89" s="73"/>
      <c r="C89" s="130"/>
      <c r="D89" s="109"/>
      <c r="E89" s="109"/>
      <c r="F89" s="109"/>
      <c r="G89" s="109"/>
      <c r="H89" s="109"/>
      <c r="I89" s="109"/>
      <c r="J89" s="75">
        <f t="shared" si="12"/>
        <v>0</v>
      </c>
      <c r="K89" s="75">
        <f t="shared" si="13"/>
        <v>0</v>
      </c>
      <c r="L89" s="109"/>
      <c r="M89" s="110"/>
      <c r="N89" s="128"/>
    </row>
    <row r="90" spans="1:14" ht="12.75" customHeight="1" x14ac:dyDescent="0.25">
      <c r="A90" s="596" t="s">
        <v>1655</v>
      </c>
      <c r="B90" s="73"/>
      <c r="C90" s="130"/>
      <c r="D90" s="109"/>
      <c r="E90" s="109"/>
      <c r="F90" s="109"/>
      <c r="G90" s="109"/>
      <c r="H90" s="109"/>
      <c r="I90" s="109"/>
      <c r="J90" s="75">
        <f t="shared" si="12"/>
        <v>0</v>
      </c>
      <c r="K90" s="75">
        <f t="shared" si="13"/>
        <v>0</v>
      </c>
      <c r="L90" s="109"/>
      <c r="M90" s="110"/>
      <c r="N90" s="128"/>
    </row>
    <row r="91" spans="1:14" ht="12.75" customHeight="1" x14ac:dyDescent="0.25">
      <c r="A91" s="596" t="s">
        <v>1656</v>
      </c>
      <c r="B91" s="73"/>
      <c r="C91" s="130"/>
      <c r="D91" s="109"/>
      <c r="E91" s="109"/>
      <c r="F91" s="109"/>
      <c r="G91" s="109"/>
      <c r="H91" s="109"/>
      <c r="I91" s="109"/>
      <c r="J91" s="75">
        <f t="shared" si="12"/>
        <v>0</v>
      </c>
      <c r="K91" s="75">
        <f t="shared" si="13"/>
        <v>0</v>
      </c>
      <c r="L91" s="109"/>
      <c r="M91" s="110"/>
      <c r="N91" s="128"/>
    </row>
    <row r="92" spans="1:14" ht="12.75" customHeight="1" x14ac:dyDescent="0.25">
      <c r="A92" s="596" t="s">
        <v>1657</v>
      </c>
      <c r="B92" s="73"/>
      <c r="C92" s="130"/>
      <c r="D92" s="109"/>
      <c r="E92" s="109"/>
      <c r="F92" s="109"/>
      <c r="G92" s="109"/>
      <c r="H92" s="109"/>
      <c r="I92" s="109"/>
      <c r="J92" s="75">
        <f t="shared" si="12"/>
        <v>0</v>
      </c>
      <c r="K92" s="75">
        <f t="shared" si="13"/>
        <v>0</v>
      </c>
      <c r="L92" s="109"/>
      <c r="M92" s="110"/>
      <c r="N92" s="128"/>
    </row>
    <row r="93" spans="1:14" ht="12.75" customHeight="1" x14ac:dyDescent="0.25">
      <c r="A93" s="596" t="s">
        <v>1658</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1659</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52"/>
    </row>
    <row r="97" spans="1:14" ht="12.75" customHeight="1" x14ac:dyDescent="0.25">
      <c r="A97" s="596" t="s">
        <v>1660</v>
      </c>
      <c r="B97" s="73"/>
      <c r="C97" s="130"/>
      <c r="D97" s="109"/>
      <c r="E97" s="109"/>
      <c r="F97" s="109"/>
      <c r="G97" s="109"/>
      <c r="H97" s="109"/>
      <c r="I97" s="109"/>
      <c r="J97" s="75">
        <f t="shared" si="12"/>
        <v>0</v>
      </c>
      <c r="K97" s="75">
        <f t="shared" si="13"/>
        <v>0</v>
      </c>
      <c r="L97" s="109"/>
      <c r="M97" s="110"/>
      <c r="N97" s="128"/>
    </row>
    <row r="98" spans="1:14" ht="12.75" customHeight="1" x14ac:dyDescent="0.25">
      <c r="A98" s="596" t="s">
        <v>1661</v>
      </c>
      <c r="B98" s="73"/>
      <c r="C98" s="130"/>
      <c r="D98" s="109"/>
      <c r="E98" s="109"/>
      <c r="F98" s="109"/>
      <c r="G98" s="109"/>
      <c r="H98" s="109"/>
      <c r="I98" s="109"/>
      <c r="J98" s="75">
        <f t="shared" si="12"/>
        <v>0</v>
      </c>
      <c r="K98" s="75">
        <f t="shared" si="13"/>
        <v>0</v>
      </c>
      <c r="L98" s="109"/>
      <c r="M98" s="110"/>
      <c r="N98" s="128"/>
    </row>
    <row r="99" spans="1:14" ht="12.75" customHeight="1" x14ac:dyDescent="0.25">
      <c r="A99" s="596" t="s">
        <v>1594</v>
      </c>
      <c r="B99" s="73"/>
      <c r="C99" s="130"/>
      <c r="D99" s="109"/>
      <c r="E99" s="109"/>
      <c r="F99" s="109"/>
      <c r="G99" s="109"/>
      <c r="H99" s="109"/>
      <c r="I99" s="109"/>
      <c r="J99" s="75">
        <f t="shared" si="12"/>
        <v>0</v>
      </c>
      <c r="K99" s="75">
        <f t="shared" si="13"/>
        <v>0</v>
      </c>
      <c r="L99" s="109"/>
      <c r="M99" s="110"/>
      <c r="N99" s="128"/>
    </row>
    <row r="100" spans="1:14" ht="10.15" customHeight="1" x14ac:dyDescent="0.25">
      <c r="A100" s="595" t="s">
        <v>1662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1663</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1664</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1594</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3" t="s">
        <v>773</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1665</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1666</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1667</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1668</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1669</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39"/>
      <c r="B111" s="73"/>
      <c r="C111" s="74"/>
      <c r="D111" s="75"/>
      <c r="E111" s="75"/>
      <c r="F111" s="75"/>
      <c r="G111" s="75"/>
      <c r="H111" s="75"/>
      <c r="I111" s="75"/>
      <c r="J111" s="75"/>
      <c r="K111" s="75"/>
      <c r="L111" s="75"/>
      <c r="M111" s="76"/>
      <c r="N111" s="128"/>
    </row>
    <row r="112" spans="1:14" ht="12.75" customHeight="1" x14ac:dyDescent="0.25">
      <c r="A112" s="1240" t="s">
        <v>774</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1671</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1672</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1671</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1672</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0" t="s">
        <v>775</v>
      </c>
      <c r="B120" s="73"/>
      <c r="C120" s="236">
        <f>+C121+C133</f>
        <v>0</v>
      </c>
      <c r="D120" s="237">
        <f t="shared" ref="D120:I120" si="21">+D121+D133</f>
        <v>0</v>
      </c>
      <c r="E120" s="237">
        <f t="shared" si="21"/>
        <v>0</v>
      </c>
      <c r="F120" s="237">
        <f t="shared" si="21"/>
        <v>0</v>
      </c>
      <c r="G120" s="237">
        <f t="shared" si="21"/>
        <v>0</v>
      </c>
      <c r="H120" s="237">
        <f t="shared" si="21"/>
        <v>0</v>
      </c>
      <c r="I120" s="237">
        <f t="shared" si="21"/>
        <v>230000</v>
      </c>
      <c r="J120" s="237">
        <f t="shared" si="12"/>
        <v>230000</v>
      </c>
      <c r="K120" s="145">
        <f t="shared" si="13"/>
        <v>230000</v>
      </c>
      <c r="L120" s="237">
        <f>+L121+L133</f>
        <v>0</v>
      </c>
      <c r="M120" s="238">
        <f>+M121+M133</f>
        <v>0</v>
      </c>
      <c r="N120" s="128"/>
    </row>
    <row r="121" spans="1:14" ht="10.15" customHeight="1" x14ac:dyDescent="0.25">
      <c r="A121" s="595" t="s">
        <v>1674</v>
      </c>
      <c r="B121" s="73"/>
      <c r="C121" s="140">
        <f>SUM(C122:C132)</f>
        <v>0</v>
      </c>
      <c r="D121" s="141">
        <f t="shared" ref="D121:I121" si="22">SUM(D122:D132)</f>
        <v>0</v>
      </c>
      <c r="E121" s="141">
        <f t="shared" si="22"/>
        <v>0</v>
      </c>
      <c r="F121" s="141">
        <f t="shared" si="22"/>
        <v>0</v>
      </c>
      <c r="G121" s="141">
        <f t="shared" si="22"/>
        <v>0</v>
      </c>
      <c r="H121" s="141">
        <f t="shared" si="22"/>
        <v>0</v>
      </c>
      <c r="I121" s="141">
        <f t="shared" si="22"/>
        <v>230000</v>
      </c>
      <c r="J121" s="141">
        <f t="shared" si="12"/>
        <v>230000</v>
      </c>
      <c r="K121" s="141">
        <f t="shared" si="13"/>
        <v>230000</v>
      </c>
      <c r="L121" s="141">
        <f>SUM(L122:L132)</f>
        <v>0</v>
      </c>
      <c r="M121" s="142">
        <f>SUM(M122:M132)</f>
        <v>0</v>
      </c>
      <c r="N121" s="128"/>
    </row>
    <row r="122" spans="1:14" ht="12.75" customHeight="1" x14ac:dyDescent="0.25">
      <c r="A122" s="596" t="s">
        <v>1675</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1676</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1677</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1678</v>
      </c>
      <c r="B125" s="73"/>
      <c r="C125" s="130"/>
      <c r="D125" s="109"/>
      <c r="E125" s="109"/>
      <c r="F125" s="109"/>
      <c r="G125" s="109"/>
      <c r="H125" s="109"/>
      <c r="I125" s="109">
        <v>230000</v>
      </c>
      <c r="J125" s="75">
        <f t="shared" si="12"/>
        <v>230000</v>
      </c>
      <c r="K125" s="75">
        <f t="shared" si="13"/>
        <v>230000</v>
      </c>
      <c r="L125" s="109"/>
      <c r="M125" s="110"/>
      <c r="N125" s="128"/>
    </row>
    <row r="126" spans="1:14" ht="12.75" customHeight="1" x14ac:dyDescent="0.25">
      <c r="A126" s="596" t="s">
        <v>1679</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1680</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1681</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1682</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1683</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1684</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1594</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7" customFormat="1" ht="12.75" customHeight="1" x14ac:dyDescent="0.25">
      <c r="A134" s="596" t="s">
        <v>1685</v>
      </c>
      <c r="B134" s="1241"/>
      <c r="C134" s="1242"/>
      <c r="D134" s="1243"/>
      <c r="E134" s="1243"/>
      <c r="F134" s="1243"/>
      <c r="G134" s="1243"/>
      <c r="H134" s="1243"/>
      <c r="I134" s="1243"/>
      <c r="J134" s="1244">
        <f t="shared" si="12"/>
        <v>0</v>
      </c>
      <c r="K134" s="1244">
        <f t="shared" si="13"/>
        <v>0</v>
      </c>
      <c r="L134" s="1243"/>
      <c r="M134" s="1245"/>
      <c r="N134" s="1246"/>
    </row>
    <row r="135" spans="1:14" ht="12.75" customHeight="1" x14ac:dyDescent="0.25">
      <c r="A135" s="596" t="s">
        <v>1686</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1594</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1687</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48"/>
      <c r="B140" s="73"/>
      <c r="C140" s="74"/>
      <c r="D140" s="75"/>
      <c r="E140" s="75"/>
      <c r="F140" s="75"/>
      <c r="G140" s="75"/>
      <c r="H140" s="75"/>
      <c r="I140" s="75"/>
      <c r="J140" s="75"/>
      <c r="K140" s="75"/>
      <c r="L140" s="75"/>
      <c r="M140" s="76"/>
      <c r="N140" s="128"/>
    </row>
    <row r="141" spans="1:14" ht="12.75" customHeight="1" x14ac:dyDescent="0.25">
      <c r="A141" s="493" t="s">
        <v>1688</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1689</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1690</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1691</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1692</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1693</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1694</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1695</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1696</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48"/>
      <c r="B150" s="73"/>
      <c r="C150" s="74"/>
      <c r="D150" s="75"/>
      <c r="E150" s="75"/>
      <c r="F150" s="75"/>
      <c r="G150" s="75"/>
      <c r="H150" s="75"/>
      <c r="I150" s="75"/>
      <c r="J150" s="75"/>
      <c r="K150" s="75"/>
      <c r="L150" s="75"/>
      <c r="M150" s="76"/>
      <c r="N150" s="128"/>
    </row>
    <row r="151" spans="1:14" ht="12.75" customHeight="1" x14ac:dyDescent="0.25">
      <c r="A151" s="493" t="s">
        <v>1697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1697</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48"/>
      <c r="B153" s="73"/>
      <c r="C153" s="74"/>
      <c r="D153" s="75"/>
      <c r="E153" s="75"/>
      <c r="F153" s="75"/>
      <c r="G153" s="75"/>
      <c r="H153" s="75"/>
      <c r="I153" s="75"/>
      <c r="J153" s="75"/>
      <c r="K153" s="75"/>
      <c r="L153" s="75"/>
      <c r="M153" s="76"/>
      <c r="N153" s="128"/>
    </row>
    <row r="154" spans="1:14" ht="12.75" customHeight="1" x14ac:dyDescent="0.25">
      <c r="A154" s="493" t="s">
        <v>1698</v>
      </c>
      <c r="B154" s="73"/>
      <c r="C154" s="236">
        <f t="shared" ref="C154:M154" si="30">SUM(C155:C155)</f>
        <v>700000</v>
      </c>
      <c r="D154" s="237">
        <f t="shared" si="30"/>
        <v>0</v>
      </c>
      <c r="E154" s="237">
        <f t="shared" si="30"/>
        <v>0</v>
      </c>
      <c r="F154" s="237">
        <f t="shared" si="30"/>
        <v>0</v>
      </c>
      <c r="G154" s="237">
        <f t="shared" si="30"/>
        <v>0</v>
      </c>
      <c r="H154" s="237">
        <f t="shared" si="30"/>
        <v>0</v>
      </c>
      <c r="I154" s="237">
        <f t="shared" si="30"/>
        <v>-504687</v>
      </c>
      <c r="J154" s="237">
        <f t="shared" si="25"/>
        <v>-504687</v>
      </c>
      <c r="K154" s="237">
        <f t="shared" si="26"/>
        <v>195313</v>
      </c>
      <c r="L154" s="237">
        <f t="shared" si="30"/>
        <v>0</v>
      </c>
      <c r="M154" s="238">
        <f t="shared" si="30"/>
        <v>0</v>
      </c>
      <c r="N154" s="128"/>
    </row>
    <row r="155" spans="1:14" ht="12.75" customHeight="1" x14ac:dyDescent="0.25">
      <c r="A155" s="595" t="s">
        <v>1698</v>
      </c>
      <c r="B155" s="73"/>
      <c r="C155" s="130">
        <v>700000</v>
      </c>
      <c r="D155" s="109"/>
      <c r="E155" s="109"/>
      <c r="F155" s="109"/>
      <c r="G155" s="109"/>
      <c r="H155" s="109"/>
      <c r="I155" s="109">
        <f>195313-700000</f>
        <v>-504687</v>
      </c>
      <c r="J155" s="75">
        <f t="shared" si="25"/>
        <v>-504687</v>
      </c>
      <c r="K155" s="75">
        <f t="shared" si="26"/>
        <v>195313</v>
      </c>
      <c r="L155" s="109"/>
      <c r="M155" s="110"/>
      <c r="N155" s="128"/>
    </row>
    <row r="156" spans="1:14" ht="4.9000000000000004" customHeight="1" x14ac:dyDescent="0.25">
      <c r="A156" s="1248"/>
      <c r="B156" s="73"/>
      <c r="C156" s="74"/>
      <c r="D156" s="75"/>
      <c r="E156" s="75"/>
      <c r="F156" s="75"/>
      <c r="G156" s="75"/>
      <c r="H156" s="75"/>
      <c r="I156" s="75"/>
      <c r="J156" s="75"/>
      <c r="K156" s="75"/>
      <c r="L156" s="75"/>
      <c r="M156" s="76"/>
      <c r="N156" s="128"/>
    </row>
    <row r="157" spans="1:14" ht="12.75" customHeight="1" x14ac:dyDescent="0.25">
      <c r="A157" s="493" t="s">
        <v>1699</v>
      </c>
      <c r="B157" s="73"/>
      <c r="C157" s="236">
        <f t="shared" ref="C157:M157" si="31">SUM(C158:C158)</f>
        <v>300000</v>
      </c>
      <c r="D157" s="237">
        <f t="shared" si="31"/>
        <v>0</v>
      </c>
      <c r="E157" s="237">
        <f t="shared" si="31"/>
        <v>0</v>
      </c>
      <c r="F157" s="237">
        <f t="shared" si="31"/>
        <v>0</v>
      </c>
      <c r="G157" s="237">
        <f t="shared" si="31"/>
        <v>0</v>
      </c>
      <c r="H157" s="237">
        <f t="shared" si="31"/>
        <v>0</v>
      </c>
      <c r="I157" s="237">
        <f t="shared" si="31"/>
        <v>48000</v>
      </c>
      <c r="J157" s="237">
        <f t="shared" si="25"/>
        <v>48000</v>
      </c>
      <c r="K157" s="237">
        <f t="shared" si="26"/>
        <v>348000</v>
      </c>
      <c r="L157" s="237">
        <f t="shared" si="31"/>
        <v>0</v>
      </c>
      <c r="M157" s="238">
        <f t="shared" si="31"/>
        <v>0</v>
      </c>
      <c r="N157" s="128"/>
    </row>
    <row r="158" spans="1:14" ht="12.75" customHeight="1" x14ac:dyDescent="0.25">
      <c r="A158" s="595" t="s">
        <v>1699</v>
      </c>
      <c r="B158" s="73"/>
      <c r="C158" s="130">
        <v>300000</v>
      </c>
      <c r="D158" s="109"/>
      <c r="E158" s="109"/>
      <c r="F158" s="109"/>
      <c r="G158" s="109"/>
      <c r="H158" s="109"/>
      <c r="I158" s="109">
        <f>348000-300000</f>
        <v>48000</v>
      </c>
      <c r="J158" s="75">
        <f t="shared" si="25"/>
        <v>48000</v>
      </c>
      <c r="K158" s="75">
        <f t="shared" si="26"/>
        <v>348000</v>
      </c>
      <c r="L158" s="109"/>
      <c r="M158" s="110"/>
      <c r="N158" s="128"/>
    </row>
    <row r="159" spans="1:14" ht="4.9000000000000004" customHeight="1" x14ac:dyDescent="0.25">
      <c r="A159" s="1248"/>
      <c r="B159" s="73"/>
      <c r="C159" s="74"/>
      <c r="D159" s="75"/>
      <c r="E159" s="75"/>
      <c r="F159" s="75"/>
      <c r="G159" s="75"/>
      <c r="H159" s="75"/>
      <c r="I159" s="75"/>
      <c r="J159" s="75"/>
      <c r="K159" s="75"/>
      <c r="L159" s="75"/>
      <c r="M159" s="76"/>
      <c r="N159" s="128"/>
    </row>
    <row r="160" spans="1:14" ht="12.75" customHeight="1" x14ac:dyDescent="0.25">
      <c r="A160" s="493" t="s">
        <v>1700</v>
      </c>
      <c r="B160" s="73"/>
      <c r="C160" s="236">
        <f t="shared" ref="C160:M160" si="32">SUM(C161:C161)</f>
        <v>1500000</v>
      </c>
      <c r="D160" s="237">
        <f t="shared" si="32"/>
        <v>0</v>
      </c>
      <c r="E160" s="237">
        <f t="shared" si="32"/>
        <v>0</v>
      </c>
      <c r="F160" s="237">
        <f t="shared" si="32"/>
        <v>0</v>
      </c>
      <c r="G160" s="237">
        <f t="shared" si="32"/>
        <v>0</v>
      </c>
      <c r="H160" s="237">
        <f t="shared" si="32"/>
        <v>0</v>
      </c>
      <c r="I160" s="237">
        <f t="shared" si="32"/>
        <v>1856687</v>
      </c>
      <c r="J160" s="237">
        <f t="shared" si="25"/>
        <v>1856687</v>
      </c>
      <c r="K160" s="237">
        <f t="shared" si="26"/>
        <v>3356687</v>
      </c>
      <c r="L160" s="237">
        <f t="shared" si="32"/>
        <v>0</v>
      </c>
      <c r="M160" s="238">
        <f t="shared" si="32"/>
        <v>0</v>
      </c>
      <c r="N160" s="128"/>
    </row>
    <row r="161" spans="1:14" ht="12.75" customHeight="1" x14ac:dyDescent="0.25">
      <c r="A161" s="595" t="s">
        <v>1700</v>
      </c>
      <c r="B161" s="73"/>
      <c r="C161" s="130">
        <v>1500000</v>
      </c>
      <c r="D161" s="109"/>
      <c r="E161" s="109"/>
      <c r="F161" s="109"/>
      <c r="G161" s="109"/>
      <c r="H161" s="109"/>
      <c r="I161" s="109">
        <f>1400000-1500000+1956687</f>
        <v>1856687</v>
      </c>
      <c r="J161" s="75">
        <f t="shared" si="25"/>
        <v>1856687</v>
      </c>
      <c r="K161" s="75">
        <f t="shared" si="26"/>
        <v>3356687</v>
      </c>
      <c r="L161" s="109"/>
      <c r="M161" s="110"/>
      <c r="N161" s="128"/>
    </row>
    <row r="162" spans="1:14" ht="4.9000000000000004" customHeight="1" x14ac:dyDescent="0.25">
      <c r="A162" s="1248"/>
      <c r="B162" s="73"/>
      <c r="C162" s="74"/>
      <c r="D162" s="75"/>
      <c r="E162" s="75"/>
      <c r="F162" s="75"/>
      <c r="G162" s="75"/>
      <c r="H162" s="75"/>
      <c r="I162" s="75"/>
      <c r="J162" s="75"/>
      <c r="K162" s="75"/>
      <c r="L162" s="75"/>
      <c r="M162" s="76"/>
      <c r="N162" s="128"/>
    </row>
    <row r="163" spans="1:14" ht="12.75" customHeight="1" x14ac:dyDescent="0.25">
      <c r="A163" s="493" t="s">
        <v>1757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1757</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48"/>
      <c r="B165" s="73"/>
      <c r="C165" s="74"/>
      <c r="D165" s="75"/>
      <c r="E165" s="75"/>
      <c r="F165" s="75"/>
      <c r="G165" s="75"/>
      <c r="H165" s="75"/>
      <c r="I165" s="75"/>
      <c r="J165" s="75"/>
      <c r="K165" s="75"/>
      <c r="L165" s="75"/>
      <c r="M165" s="76"/>
      <c r="N165" s="128"/>
    </row>
    <row r="166" spans="1:14" ht="12.75" customHeight="1" x14ac:dyDescent="0.25">
      <c r="A166" s="493" t="s">
        <v>1701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1701</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1201</v>
      </c>
      <c r="B169" s="156">
        <v>1</v>
      </c>
      <c r="C169" s="157">
        <f>C8+C76+C105+C112+C120+C151+C138+C141+C154+C157+C160+C163+C166</f>
        <v>67864362.730000019</v>
      </c>
      <c r="D169" s="117">
        <f t="shared" ref="D169:M169" si="35">D8+D76+D105+D112+D120+D151+D138+D141+D154+D157+D160+D163+D166</f>
        <v>0</v>
      </c>
      <c r="E169" s="117">
        <f t="shared" si="35"/>
        <v>0</v>
      </c>
      <c r="F169" s="117">
        <f t="shared" si="35"/>
        <v>0</v>
      </c>
      <c r="G169" s="117">
        <f t="shared" si="35"/>
        <v>0</v>
      </c>
      <c r="H169" s="117">
        <f t="shared" si="35"/>
        <v>0</v>
      </c>
      <c r="I169" s="117">
        <f t="shared" si="35"/>
        <v>8958524.2700000033</v>
      </c>
      <c r="J169" s="117">
        <f t="shared" si="25"/>
        <v>8958524.2700000033</v>
      </c>
      <c r="K169" s="117">
        <f t="shared" si="26"/>
        <v>76822887.00000003</v>
      </c>
      <c r="L169" s="117">
        <f t="shared" si="35"/>
        <v>86557122</v>
      </c>
      <c r="M169" s="118">
        <f t="shared" si="35"/>
        <v>87850786</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5" t="s">
        <v>1706</v>
      </c>
      <c r="B172" s="121"/>
      <c r="C172" s="53"/>
      <c r="D172" s="53"/>
      <c r="E172" s="53"/>
      <c r="F172" s="53"/>
      <c r="G172" s="53"/>
      <c r="H172" s="53"/>
      <c r="I172" s="53"/>
      <c r="J172" s="53"/>
      <c r="K172" s="53"/>
      <c r="L172" s="53"/>
      <c r="M172" s="53"/>
      <c r="N172" s="128"/>
    </row>
    <row r="173" spans="1:14" ht="12.75" customHeight="1" x14ac:dyDescent="0.25">
      <c r="A173" s="1389" t="s">
        <v>992</v>
      </c>
      <c r="B173" s="1389"/>
      <c r="C173" s="1389"/>
      <c r="D173" s="1389"/>
      <c r="E173" s="1389"/>
      <c r="F173" s="1389"/>
      <c r="G173" s="1389"/>
      <c r="H173" s="1389"/>
      <c r="I173" s="1389"/>
      <c r="J173" s="1389"/>
      <c r="K173" s="1389"/>
      <c r="L173" s="1389"/>
      <c r="M173" s="1389"/>
      <c r="N173" s="128"/>
    </row>
    <row r="174" spans="1:14" ht="12.75" customHeight="1" x14ac:dyDescent="0.25">
      <c r="A174" s="1389" t="s">
        <v>998</v>
      </c>
      <c r="B174" s="1389"/>
      <c r="C174" s="1389"/>
      <c r="D174" s="1389"/>
      <c r="E174" s="1389"/>
      <c r="F174" s="1389"/>
      <c r="G174" s="1389"/>
      <c r="H174" s="1389"/>
      <c r="I174" s="1389"/>
      <c r="J174" s="1389"/>
      <c r="K174" s="98"/>
      <c r="L174" s="98"/>
      <c r="M174" s="98"/>
      <c r="N174" s="128"/>
    </row>
    <row r="175" spans="1:14" ht="12.75" customHeight="1" x14ac:dyDescent="0.25">
      <c r="A175" s="1389" t="s">
        <v>999</v>
      </c>
      <c r="B175" s="1389"/>
      <c r="C175" s="1389"/>
      <c r="D175" s="1389"/>
      <c r="E175" s="1389"/>
      <c r="F175" s="1389"/>
      <c r="G175" s="1389"/>
      <c r="H175" s="1389"/>
      <c r="I175" s="1389"/>
      <c r="J175" s="1389"/>
      <c r="K175" s="98"/>
      <c r="L175" s="98"/>
      <c r="M175" s="98"/>
      <c r="N175" s="128"/>
    </row>
    <row r="176" spans="1:14" ht="12.75" customHeight="1" x14ac:dyDescent="0.25">
      <c r="A176" s="1389" t="s">
        <v>1022</v>
      </c>
      <c r="B176" s="1389"/>
      <c r="C176" s="1389"/>
      <c r="D176" s="1389"/>
      <c r="E176" s="1389"/>
      <c r="F176" s="1389"/>
      <c r="G176" s="1389"/>
      <c r="H176" s="1389"/>
      <c r="I176" s="1389"/>
      <c r="J176" s="1389"/>
      <c r="K176" s="1389"/>
      <c r="L176" s="1389"/>
      <c r="M176" s="1389"/>
      <c r="N176" s="128"/>
    </row>
    <row r="177" spans="1:14" ht="12.75" customHeight="1" x14ac:dyDescent="0.25">
      <c r="A177" s="99" t="s">
        <v>1023</v>
      </c>
      <c r="B177" s="93"/>
      <c r="C177" s="96"/>
      <c r="D177" s="96"/>
      <c r="E177" s="96"/>
      <c r="F177" s="96"/>
      <c r="G177" s="96"/>
      <c r="H177" s="96"/>
      <c r="I177" s="96"/>
      <c r="J177" s="96"/>
      <c r="K177" s="96"/>
      <c r="L177" s="96"/>
      <c r="M177" s="96"/>
      <c r="N177" s="128"/>
    </row>
    <row r="178" spans="1:14" ht="12.75" customHeight="1" x14ac:dyDescent="0.25">
      <c r="A178" s="1389" t="s">
        <v>1024</v>
      </c>
      <c r="B178" s="1389"/>
      <c r="C178" s="1389"/>
      <c r="D178" s="1389"/>
      <c r="E178" s="1389"/>
      <c r="F178" s="1389"/>
      <c r="G178" s="1389"/>
      <c r="H178" s="1389"/>
      <c r="I178" s="1389"/>
      <c r="J178" s="1389"/>
      <c r="K178" s="1389"/>
      <c r="L178" s="1389"/>
      <c r="M178" s="1389"/>
      <c r="N178" s="128"/>
    </row>
    <row r="179" spans="1:14" ht="12.75" customHeight="1" x14ac:dyDescent="0.25">
      <c r="A179" s="99" t="s">
        <v>1025</v>
      </c>
      <c r="B179" s="93"/>
      <c r="C179" s="96"/>
      <c r="D179" s="96"/>
      <c r="E179" s="96"/>
      <c r="F179" s="96"/>
      <c r="G179" s="96"/>
      <c r="H179" s="96"/>
      <c r="I179" s="96"/>
      <c r="J179" s="96"/>
      <c r="K179" s="96"/>
      <c r="L179" s="96"/>
      <c r="M179" s="96"/>
      <c r="N179" s="128"/>
    </row>
    <row r="180" spans="1:14" ht="12.75" customHeight="1" x14ac:dyDescent="0.25">
      <c r="A180" s="1389" t="s">
        <v>1026</v>
      </c>
      <c r="B180" s="1389"/>
      <c r="C180" s="1389"/>
      <c r="D180" s="1389"/>
      <c r="E180" s="1389"/>
      <c r="F180" s="1389"/>
      <c r="G180" s="1389"/>
      <c r="H180" s="1389"/>
      <c r="I180" s="1389"/>
      <c r="J180" s="1389"/>
      <c r="K180" s="1389"/>
      <c r="L180" s="1389"/>
      <c r="M180" s="1389"/>
      <c r="N180" s="128"/>
    </row>
    <row r="181" spans="1:14" ht="11.25" customHeight="1" x14ac:dyDescent="0.25">
      <c r="A181" s="912"/>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675</v>
      </c>
      <c r="B183" s="160"/>
      <c r="C183" s="795">
        <f>(C169+SB18b!C169+SB18e!C169)-'B5-Capex'!C65</f>
        <v>0</v>
      </c>
      <c r="D183" s="795"/>
      <c r="E183" s="795"/>
      <c r="F183" s="795"/>
      <c r="G183" s="795"/>
      <c r="H183" s="795"/>
      <c r="I183" s="795"/>
      <c r="J183" s="795"/>
      <c r="K183" s="795"/>
      <c r="L183" s="795">
        <f>(L169+SB18b!L169+SB18e!L169)-'B5-Capex'!L65</f>
        <v>0</v>
      </c>
      <c r="M183" s="795">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1" zoomScaleNormal="100" workbookViewId="0">
      <selection activeCell="K169" sqref="K169:M169"/>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LIM333 Greater Tzaneen - Supporting Table SB18b Adjustments Budget - capital expenditure on renewal of existing assets by asset class - 27/02/2019</v>
      </c>
      <c r="B1" s="5"/>
      <c r="C1" s="58"/>
    </row>
    <row r="2" spans="1:14" ht="25.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53" t="s">
        <v>1202</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772</v>
      </c>
      <c r="B8" s="73"/>
      <c r="C8" s="704">
        <f>C9+C14+C18+C28+C70+C39+C46+C54+C64</f>
        <v>52011231.759999998</v>
      </c>
      <c r="D8" s="704">
        <f t="shared" ref="D8:I8" si="0">D9+D14+D18+D28+D70+D39+D46+D54+D64</f>
        <v>0</v>
      </c>
      <c r="E8" s="704">
        <f t="shared" si="0"/>
        <v>0</v>
      </c>
      <c r="F8" s="704">
        <f t="shared" si="0"/>
        <v>0</v>
      </c>
      <c r="G8" s="704">
        <f t="shared" si="0"/>
        <v>0</v>
      </c>
      <c r="H8" s="704">
        <f t="shared" si="0"/>
        <v>0</v>
      </c>
      <c r="I8" s="704">
        <f t="shared" si="0"/>
        <v>-52011231.760000005</v>
      </c>
      <c r="J8" s="705">
        <f>SUM(E8:I8)</f>
        <v>-52011231.760000005</v>
      </c>
      <c r="K8" s="705">
        <f>IF(D8=0,C8+J8,D8+J8)</f>
        <v>-7.4505805969238281E-9</v>
      </c>
      <c r="L8" s="704">
        <f>L9+L14+L18+L28+L70+L39+L46+L54+L64</f>
        <v>16050000</v>
      </c>
      <c r="M8" s="706">
        <f>M9+M14+M18+M28+M70+M39+M46+M54+M64</f>
        <v>24650000</v>
      </c>
      <c r="N8" s="847"/>
    </row>
    <row r="9" spans="1:14" ht="12.75" customHeight="1" x14ac:dyDescent="0.25">
      <c r="A9" s="595" t="s">
        <v>1591</v>
      </c>
      <c r="B9" s="73"/>
      <c r="C9" s="265">
        <f>SUM(C10:C13)</f>
        <v>26511231.759999998</v>
      </c>
      <c r="D9" s="265">
        <f t="shared" ref="D9:M9" si="1">SUM(D10:D13)</f>
        <v>0</v>
      </c>
      <c r="E9" s="265">
        <f t="shared" si="1"/>
        <v>0</v>
      </c>
      <c r="F9" s="265">
        <f t="shared" si="1"/>
        <v>0</v>
      </c>
      <c r="G9" s="265">
        <f t="shared" si="1"/>
        <v>0</v>
      </c>
      <c r="H9" s="265">
        <f t="shared" si="1"/>
        <v>0</v>
      </c>
      <c r="I9" s="265">
        <f t="shared" si="1"/>
        <v>-26511231.760000002</v>
      </c>
      <c r="J9" s="75">
        <f t="shared" ref="J9:J72" si="2">SUM(E9:I9)</f>
        <v>-26511231.760000002</v>
      </c>
      <c r="K9" s="75">
        <f t="shared" ref="K9:K72" si="3">IF(D9=0,C9+J9,D9+J9)</f>
        <v>-3.7252902984619141E-9</v>
      </c>
      <c r="L9" s="265">
        <f t="shared" si="1"/>
        <v>0</v>
      </c>
      <c r="M9" s="266">
        <f t="shared" si="1"/>
        <v>0</v>
      </c>
      <c r="N9" s="128"/>
    </row>
    <row r="10" spans="1:14" ht="12.75" customHeight="1" x14ac:dyDescent="0.25">
      <c r="A10" s="596" t="s">
        <v>1008</v>
      </c>
      <c r="B10" s="73"/>
      <c r="C10" s="109">
        <v>26511231.759999998</v>
      </c>
      <c r="D10" s="109"/>
      <c r="E10" s="109"/>
      <c r="F10" s="109"/>
      <c r="G10" s="109"/>
      <c r="H10" s="109"/>
      <c r="I10" s="109">
        <v>-26511231.760000002</v>
      </c>
      <c r="J10" s="75">
        <f t="shared" si="2"/>
        <v>-26511231.760000002</v>
      </c>
      <c r="K10" s="75">
        <f t="shared" si="3"/>
        <v>-3.7252902984619141E-9</v>
      </c>
      <c r="L10" s="109"/>
      <c r="M10" s="110"/>
      <c r="N10" s="847"/>
    </row>
    <row r="11" spans="1:14" ht="12.75" customHeight="1" x14ac:dyDescent="0.25">
      <c r="A11" s="596" t="s">
        <v>1592</v>
      </c>
      <c r="B11" s="73"/>
      <c r="C11" s="109"/>
      <c r="D11" s="109"/>
      <c r="E11" s="109"/>
      <c r="F11" s="109"/>
      <c r="G11" s="109"/>
      <c r="H11" s="109"/>
      <c r="I11" s="109"/>
      <c r="J11" s="75">
        <f t="shared" si="2"/>
        <v>0</v>
      </c>
      <c r="K11" s="75">
        <f t="shared" si="3"/>
        <v>0</v>
      </c>
      <c r="L11" s="109"/>
      <c r="M11" s="110"/>
      <c r="N11" s="852"/>
    </row>
    <row r="12" spans="1:14" ht="12.75" customHeight="1" x14ac:dyDescent="0.25">
      <c r="A12" s="596" t="s">
        <v>1593</v>
      </c>
      <c r="B12" s="73"/>
      <c r="C12" s="109"/>
      <c r="D12" s="109"/>
      <c r="E12" s="109"/>
      <c r="F12" s="109"/>
      <c r="G12" s="109"/>
      <c r="H12" s="109"/>
      <c r="I12" s="109"/>
      <c r="J12" s="75">
        <f t="shared" si="2"/>
        <v>0</v>
      </c>
      <c r="K12" s="75">
        <f t="shared" si="3"/>
        <v>0</v>
      </c>
      <c r="L12" s="109"/>
      <c r="M12" s="110"/>
      <c r="N12" s="847"/>
    </row>
    <row r="13" spans="1:14" ht="12.75" customHeight="1" x14ac:dyDescent="0.25">
      <c r="A13" s="596" t="s">
        <v>1594</v>
      </c>
      <c r="B13" s="73"/>
      <c r="C13" s="109"/>
      <c r="D13" s="109"/>
      <c r="E13" s="109"/>
      <c r="F13" s="109"/>
      <c r="G13" s="109"/>
      <c r="H13" s="109"/>
      <c r="I13" s="109"/>
      <c r="J13" s="75">
        <f t="shared" si="2"/>
        <v>0</v>
      </c>
      <c r="K13" s="75">
        <f t="shared" si="3"/>
        <v>0</v>
      </c>
      <c r="L13" s="109"/>
      <c r="M13" s="110"/>
      <c r="N13" s="852"/>
    </row>
    <row r="14" spans="1:14" ht="12.75" customHeight="1" x14ac:dyDescent="0.25">
      <c r="A14" s="595" t="s">
        <v>1595</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2"/>
    </row>
    <row r="15" spans="1:14" ht="12.75" customHeight="1" x14ac:dyDescent="0.25">
      <c r="A15" s="596" t="s">
        <v>1596</v>
      </c>
      <c r="B15" s="73"/>
      <c r="C15" s="109"/>
      <c r="D15" s="109"/>
      <c r="E15" s="109"/>
      <c r="F15" s="109"/>
      <c r="G15" s="109"/>
      <c r="H15" s="109"/>
      <c r="I15" s="109"/>
      <c r="J15" s="75">
        <f t="shared" si="2"/>
        <v>0</v>
      </c>
      <c r="K15" s="75">
        <f t="shared" si="3"/>
        <v>0</v>
      </c>
      <c r="L15" s="109"/>
      <c r="M15" s="110"/>
      <c r="N15" s="852"/>
    </row>
    <row r="16" spans="1:14" ht="12.75" customHeight="1" x14ac:dyDescent="0.25">
      <c r="A16" s="596" t="s">
        <v>1597</v>
      </c>
      <c r="B16" s="73"/>
      <c r="C16" s="109"/>
      <c r="D16" s="109"/>
      <c r="E16" s="109"/>
      <c r="F16" s="109"/>
      <c r="G16" s="109"/>
      <c r="H16" s="109"/>
      <c r="I16" s="109"/>
      <c r="J16" s="75">
        <f t="shared" si="2"/>
        <v>0</v>
      </c>
      <c r="K16" s="75">
        <f t="shared" si="3"/>
        <v>0</v>
      </c>
      <c r="L16" s="109"/>
      <c r="M16" s="110"/>
      <c r="N16" s="852"/>
    </row>
    <row r="17" spans="1:14" ht="12.75" customHeight="1" x14ac:dyDescent="0.25">
      <c r="A17" s="596" t="s">
        <v>1598</v>
      </c>
      <c r="B17" s="73"/>
      <c r="C17" s="109"/>
      <c r="D17" s="109"/>
      <c r="E17" s="109"/>
      <c r="F17" s="109"/>
      <c r="G17" s="109"/>
      <c r="H17" s="109"/>
      <c r="I17" s="109"/>
      <c r="J17" s="75">
        <f t="shared" si="2"/>
        <v>0</v>
      </c>
      <c r="K17" s="75">
        <f t="shared" si="3"/>
        <v>0</v>
      </c>
      <c r="L17" s="109"/>
      <c r="M17" s="110"/>
      <c r="N17" s="852"/>
    </row>
    <row r="18" spans="1:14" ht="12.75" customHeight="1" x14ac:dyDescent="0.25">
      <c r="A18" s="595" t="s">
        <v>1599</v>
      </c>
      <c r="B18" s="73"/>
      <c r="C18" s="132">
        <f t="shared" ref="C18:M18" si="5">SUM(C19:C27)</f>
        <v>25500000</v>
      </c>
      <c r="D18" s="132">
        <f t="shared" si="5"/>
        <v>0</v>
      </c>
      <c r="E18" s="132">
        <f t="shared" si="5"/>
        <v>0</v>
      </c>
      <c r="F18" s="132">
        <f t="shared" si="5"/>
        <v>0</v>
      </c>
      <c r="G18" s="132">
        <f t="shared" si="5"/>
        <v>0</v>
      </c>
      <c r="H18" s="132">
        <f t="shared" si="5"/>
        <v>0</v>
      </c>
      <c r="I18" s="132">
        <f t="shared" si="5"/>
        <v>-25500000</v>
      </c>
      <c r="J18" s="75">
        <f t="shared" si="2"/>
        <v>-25500000</v>
      </c>
      <c r="K18" s="75">
        <f t="shared" si="3"/>
        <v>0</v>
      </c>
      <c r="L18" s="132">
        <f t="shared" si="5"/>
        <v>16050000</v>
      </c>
      <c r="M18" s="133">
        <f t="shared" si="5"/>
        <v>24650000</v>
      </c>
      <c r="N18" s="852"/>
    </row>
    <row r="19" spans="1:14" ht="12.75" customHeight="1" x14ac:dyDescent="0.25">
      <c r="A19" s="596" t="s">
        <v>1600</v>
      </c>
      <c r="B19" s="73"/>
      <c r="C19" s="109"/>
      <c r="D19" s="109"/>
      <c r="E19" s="109"/>
      <c r="F19" s="109"/>
      <c r="G19" s="109"/>
      <c r="H19" s="109"/>
      <c r="I19" s="109"/>
      <c r="J19" s="75">
        <f t="shared" si="2"/>
        <v>0</v>
      </c>
      <c r="K19" s="75">
        <f t="shared" si="3"/>
        <v>0</v>
      </c>
      <c r="L19" s="109"/>
      <c r="M19" s="110"/>
      <c r="N19" s="852"/>
    </row>
    <row r="20" spans="1:14" ht="12.4" customHeight="1" x14ac:dyDescent="0.25">
      <c r="A20" s="596" t="s">
        <v>1601</v>
      </c>
      <c r="B20" s="73"/>
      <c r="C20" s="109"/>
      <c r="D20" s="109"/>
      <c r="E20" s="109"/>
      <c r="F20" s="109"/>
      <c r="G20" s="109"/>
      <c r="H20" s="109"/>
      <c r="I20" s="109"/>
      <c r="J20" s="75">
        <f t="shared" si="2"/>
        <v>0</v>
      </c>
      <c r="K20" s="75">
        <f t="shared" si="3"/>
        <v>0</v>
      </c>
      <c r="L20" s="109"/>
      <c r="M20" s="110"/>
      <c r="N20" s="852"/>
    </row>
    <row r="21" spans="1:14" ht="12.75" customHeight="1" x14ac:dyDescent="0.25">
      <c r="A21" s="596" t="s">
        <v>1602</v>
      </c>
      <c r="B21" s="73"/>
      <c r="C21" s="109"/>
      <c r="D21" s="109"/>
      <c r="E21" s="109"/>
      <c r="F21" s="109"/>
      <c r="G21" s="109"/>
      <c r="H21" s="109"/>
      <c r="I21" s="109"/>
      <c r="J21" s="75">
        <f t="shared" si="2"/>
        <v>0</v>
      </c>
      <c r="K21" s="75">
        <f t="shared" si="3"/>
        <v>0</v>
      </c>
      <c r="L21" s="109"/>
      <c r="M21" s="110"/>
      <c r="N21" s="852"/>
    </row>
    <row r="22" spans="1:14" ht="12.75" customHeight="1" x14ac:dyDescent="0.25">
      <c r="A22" s="596" t="s">
        <v>1603</v>
      </c>
      <c r="B22" s="73"/>
      <c r="C22" s="109"/>
      <c r="D22" s="109"/>
      <c r="E22" s="109"/>
      <c r="F22" s="109"/>
      <c r="G22" s="109"/>
      <c r="H22" s="109"/>
      <c r="I22" s="109"/>
      <c r="J22" s="75">
        <f t="shared" si="2"/>
        <v>0</v>
      </c>
      <c r="K22" s="75">
        <f t="shared" si="3"/>
        <v>0</v>
      </c>
      <c r="L22" s="109"/>
      <c r="M22" s="110"/>
      <c r="N22" s="847"/>
    </row>
    <row r="23" spans="1:14" ht="12.75" customHeight="1" x14ac:dyDescent="0.25">
      <c r="A23" s="596" t="s">
        <v>1604</v>
      </c>
      <c r="B23" s="73"/>
      <c r="C23" s="109"/>
      <c r="D23" s="109"/>
      <c r="E23" s="109"/>
      <c r="F23" s="109"/>
      <c r="G23" s="109"/>
      <c r="H23" s="109"/>
      <c r="I23" s="109"/>
      <c r="J23" s="75">
        <f t="shared" si="2"/>
        <v>0</v>
      </c>
      <c r="K23" s="75">
        <f t="shared" si="3"/>
        <v>0</v>
      </c>
      <c r="L23" s="109"/>
      <c r="M23" s="110"/>
      <c r="N23" s="852"/>
    </row>
    <row r="24" spans="1:14" ht="12.75" customHeight="1" x14ac:dyDescent="0.25">
      <c r="A24" s="596" t="s">
        <v>1605</v>
      </c>
      <c r="B24" s="73"/>
      <c r="C24" s="109"/>
      <c r="D24" s="109"/>
      <c r="E24" s="109"/>
      <c r="F24" s="109"/>
      <c r="G24" s="109"/>
      <c r="H24" s="109"/>
      <c r="I24" s="109"/>
      <c r="J24" s="75">
        <f t="shared" si="2"/>
        <v>0</v>
      </c>
      <c r="K24" s="75">
        <f t="shared" si="3"/>
        <v>0</v>
      </c>
      <c r="L24" s="109"/>
      <c r="M24" s="110"/>
      <c r="N24" s="847"/>
    </row>
    <row r="25" spans="1:14" ht="12.75" customHeight="1" x14ac:dyDescent="0.25">
      <c r="A25" s="596" t="s">
        <v>1606</v>
      </c>
      <c r="B25" s="73"/>
      <c r="C25" s="109">
        <v>25500000</v>
      </c>
      <c r="D25" s="109"/>
      <c r="E25" s="109"/>
      <c r="F25" s="109"/>
      <c r="G25" s="109"/>
      <c r="H25" s="109"/>
      <c r="I25" s="109">
        <v>-25500000</v>
      </c>
      <c r="J25" s="75">
        <f t="shared" si="2"/>
        <v>-25500000</v>
      </c>
      <c r="K25" s="75">
        <f t="shared" si="3"/>
        <v>0</v>
      </c>
      <c r="L25" s="109">
        <f>26050000-10000000</f>
        <v>16050000</v>
      </c>
      <c r="M25" s="110">
        <v>24650000</v>
      </c>
      <c r="N25" s="852"/>
    </row>
    <row r="26" spans="1:14" ht="12.75" customHeight="1" x14ac:dyDescent="0.25">
      <c r="A26" s="596" t="s">
        <v>1607</v>
      </c>
      <c r="B26" s="73"/>
      <c r="C26" s="109"/>
      <c r="D26" s="109"/>
      <c r="E26" s="109"/>
      <c r="F26" s="109"/>
      <c r="G26" s="109"/>
      <c r="H26" s="109"/>
      <c r="I26" s="109"/>
      <c r="J26" s="75">
        <f t="shared" si="2"/>
        <v>0</v>
      </c>
      <c r="K26" s="75">
        <f t="shared" si="3"/>
        <v>0</v>
      </c>
      <c r="L26" s="109"/>
      <c r="M26" s="110"/>
      <c r="N26" s="847"/>
    </row>
    <row r="27" spans="1:14" ht="12.75" customHeight="1" x14ac:dyDescent="0.25">
      <c r="A27" s="596" t="s">
        <v>1594</v>
      </c>
      <c r="B27" s="73"/>
      <c r="C27" s="109"/>
      <c r="D27" s="109"/>
      <c r="E27" s="109"/>
      <c r="F27" s="109"/>
      <c r="G27" s="109"/>
      <c r="H27" s="109"/>
      <c r="I27" s="109"/>
      <c r="J27" s="75">
        <f t="shared" si="2"/>
        <v>0</v>
      </c>
      <c r="K27" s="75">
        <f t="shared" si="3"/>
        <v>0</v>
      </c>
      <c r="L27" s="109"/>
      <c r="M27" s="110"/>
      <c r="N27" s="852"/>
    </row>
    <row r="28" spans="1:14" ht="12.75" customHeight="1" x14ac:dyDescent="0.25">
      <c r="A28" s="597" t="s">
        <v>1608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2"/>
    </row>
    <row r="29" spans="1:14" ht="12.75" customHeight="1" x14ac:dyDescent="0.25">
      <c r="A29" s="596" t="s">
        <v>1609</v>
      </c>
      <c r="B29" s="73"/>
      <c r="C29" s="109"/>
      <c r="D29" s="109"/>
      <c r="E29" s="109"/>
      <c r="F29" s="109"/>
      <c r="G29" s="109"/>
      <c r="H29" s="109"/>
      <c r="I29" s="109"/>
      <c r="J29" s="75">
        <f t="shared" si="2"/>
        <v>0</v>
      </c>
      <c r="K29" s="75">
        <f t="shared" si="3"/>
        <v>0</v>
      </c>
      <c r="L29" s="109"/>
      <c r="M29" s="110"/>
      <c r="N29" s="852"/>
    </row>
    <row r="30" spans="1:14" ht="12.4" customHeight="1" x14ac:dyDescent="0.25">
      <c r="A30" s="596" t="s">
        <v>1610</v>
      </c>
      <c r="B30" s="73"/>
      <c r="C30" s="109"/>
      <c r="D30" s="109"/>
      <c r="E30" s="109"/>
      <c r="F30" s="109"/>
      <c r="G30" s="109"/>
      <c r="H30" s="109"/>
      <c r="I30" s="109"/>
      <c r="J30" s="75">
        <f t="shared" si="2"/>
        <v>0</v>
      </c>
      <c r="K30" s="75">
        <f t="shared" si="3"/>
        <v>0</v>
      </c>
      <c r="L30" s="109"/>
      <c r="M30" s="110"/>
      <c r="N30" s="852"/>
    </row>
    <row r="31" spans="1:14" ht="12.75" customHeight="1" x14ac:dyDescent="0.25">
      <c r="A31" s="596" t="s">
        <v>1611</v>
      </c>
      <c r="B31" s="73"/>
      <c r="C31" s="109"/>
      <c r="D31" s="109"/>
      <c r="E31" s="109"/>
      <c r="F31" s="109"/>
      <c r="G31" s="109"/>
      <c r="H31" s="109"/>
      <c r="I31" s="109"/>
      <c r="J31" s="75">
        <f t="shared" si="2"/>
        <v>0</v>
      </c>
      <c r="K31" s="75">
        <f t="shared" si="3"/>
        <v>0</v>
      </c>
      <c r="L31" s="109"/>
      <c r="M31" s="110"/>
      <c r="N31" s="852"/>
    </row>
    <row r="32" spans="1:14" ht="12.75" customHeight="1" x14ac:dyDescent="0.25">
      <c r="A32" s="596" t="s">
        <v>1612</v>
      </c>
      <c r="B32" s="73"/>
      <c r="C32" s="109"/>
      <c r="D32" s="109"/>
      <c r="E32" s="109"/>
      <c r="F32" s="109"/>
      <c r="G32" s="109"/>
      <c r="H32" s="109"/>
      <c r="I32" s="109"/>
      <c r="J32" s="75">
        <f t="shared" si="2"/>
        <v>0</v>
      </c>
      <c r="K32" s="75">
        <f t="shared" si="3"/>
        <v>0</v>
      </c>
      <c r="L32" s="109"/>
      <c r="M32" s="110"/>
      <c r="N32" s="847"/>
    </row>
    <row r="33" spans="1:14" ht="12.75" customHeight="1" x14ac:dyDescent="0.25">
      <c r="A33" s="596" t="s">
        <v>1613</v>
      </c>
      <c r="B33" s="73"/>
      <c r="C33" s="109"/>
      <c r="D33" s="109"/>
      <c r="E33" s="109"/>
      <c r="F33" s="109"/>
      <c r="G33" s="109"/>
      <c r="H33" s="109"/>
      <c r="I33" s="109"/>
      <c r="J33" s="75">
        <f t="shared" si="2"/>
        <v>0</v>
      </c>
      <c r="K33" s="75">
        <f t="shared" si="3"/>
        <v>0</v>
      </c>
      <c r="L33" s="109"/>
      <c r="M33" s="110"/>
      <c r="N33" s="852"/>
    </row>
    <row r="34" spans="1:14" ht="12.75" customHeight="1" x14ac:dyDescent="0.25">
      <c r="A34" s="596" t="s">
        <v>1614</v>
      </c>
      <c r="B34" s="73"/>
      <c r="C34" s="109"/>
      <c r="D34" s="109"/>
      <c r="E34" s="109"/>
      <c r="F34" s="109"/>
      <c r="G34" s="109"/>
      <c r="H34" s="109"/>
      <c r="I34" s="109"/>
      <c r="J34" s="75">
        <f t="shared" si="2"/>
        <v>0</v>
      </c>
      <c r="K34" s="75">
        <f t="shared" si="3"/>
        <v>0</v>
      </c>
      <c r="L34" s="109"/>
      <c r="M34" s="110"/>
      <c r="N34" s="847"/>
    </row>
    <row r="35" spans="1:14" ht="12.75" customHeight="1" x14ac:dyDescent="0.25">
      <c r="A35" s="596" t="s">
        <v>1615</v>
      </c>
      <c r="B35" s="73"/>
      <c r="C35" s="109"/>
      <c r="D35" s="109"/>
      <c r="E35" s="109"/>
      <c r="F35" s="109"/>
      <c r="G35" s="109"/>
      <c r="H35" s="109"/>
      <c r="I35" s="109"/>
      <c r="J35" s="75">
        <f t="shared" si="2"/>
        <v>0</v>
      </c>
      <c r="K35" s="75">
        <f t="shared" si="3"/>
        <v>0</v>
      </c>
      <c r="L35" s="109"/>
      <c r="M35" s="110"/>
      <c r="N35" s="852"/>
    </row>
    <row r="36" spans="1:14" ht="12.75" customHeight="1" x14ac:dyDescent="0.25">
      <c r="A36" s="596" t="s">
        <v>1616</v>
      </c>
      <c r="B36" s="73"/>
      <c r="C36" s="109"/>
      <c r="D36" s="109"/>
      <c r="E36" s="109"/>
      <c r="F36" s="109"/>
      <c r="G36" s="109"/>
      <c r="H36" s="109"/>
      <c r="I36" s="109"/>
      <c r="J36" s="75">
        <f t="shared" si="2"/>
        <v>0</v>
      </c>
      <c r="K36" s="75">
        <f t="shared" si="3"/>
        <v>0</v>
      </c>
      <c r="L36" s="109"/>
      <c r="M36" s="110"/>
      <c r="N36" s="847"/>
    </row>
    <row r="37" spans="1:14" ht="12.75" customHeight="1" x14ac:dyDescent="0.25">
      <c r="A37" s="596" t="s">
        <v>1617</v>
      </c>
      <c r="B37" s="73"/>
      <c r="C37" s="109"/>
      <c r="D37" s="109"/>
      <c r="E37" s="109"/>
      <c r="F37" s="109"/>
      <c r="G37" s="109"/>
      <c r="H37" s="109"/>
      <c r="I37" s="109"/>
      <c r="J37" s="75">
        <f t="shared" si="2"/>
        <v>0</v>
      </c>
      <c r="K37" s="75">
        <f t="shared" si="3"/>
        <v>0</v>
      </c>
      <c r="L37" s="109"/>
      <c r="M37" s="110"/>
      <c r="N37" s="852"/>
    </row>
    <row r="38" spans="1:14" ht="12.75" customHeight="1" x14ac:dyDescent="0.25">
      <c r="A38" s="596" t="s">
        <v>1594</v>
      </c>
      <c r="B38" s="73"/>
      <c r="C38" s="109"/>
      <c r="D38" s="109"/>
      <c r="E38" s="109"/>
      <c r="F38" s="109"/>
      <c r="G38" s="109"/>
      <c r="H38" s="109"/>
      <c r="I38" s="109"/>
      <c r="J38" s="75">
        <f t="shared" si="2"/>
        <v>0</v>
      </c>
      <c r="K38" s="75">
        <f t="shared" si="3"/>
        <v>0</v>
      </c>
      <c r="L38" s="109"/>
      <c r="M38" s="110"/>
      <c r="N38" s="852"/>
    </row>
    <row r="39" spans="1:14" ht="12.75" customHeight="1" x14ac:dyDescent="0.25">
      <c r="A39" s="597" t="s">
        <v>1618</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1619</v>
      </c>
      <c r="B40" s="73"/>
      <c r="C40" s="109"/>
      <c r="D40" s="109"/>
      <c r="E40" s="109"/>
      <c r="F40" s="109"/>
      <c r="G40" s="109"/>
      <c r="H40" s="109"/>
      <c r="I40" s="109"/>
      <c r="J40" s="75">
        <f t="shared" si="2"/>
        <v>0</v>
      </c>
      <c r="K40" s="75">
        <f t="shared" si="3"/>
        <v>0</v>
      </c>
      <c r="L40" s="109"/>
      <c r="M40" s="110"/>
      <c r="N40" s="847"/>
    </row>
    <row r="41" spans="1:14" ht="12.75" customHeight="1" x14ac:dyDescent="0.25">
      <c r="A41" s="596" t="s">
        <v>484</v>
      </c>
      <c r="B41" s="73"/>
      <c r="C41" s="109"/>
      <c r="D41" s="109"/>
      <c r="E41" s="109"/>
      <c r="F41" s="109"/>
      <c r="G41" s="109"/>
      <c r="H41" s="109"/>
      <c r="I41" s="109"/>
      <c r="J41" s="75">
        <f t="shared" si="2"/>
        <v>0</v>
      </c>
      <c r="K41" s="75">
        <f t="shared" si="3"/>
        <v>0</v>
      </c>
      <c r="L41" s="109"/>
      <c r="M41" s="110"/>
      <c r="N41" s="847"/>
    </row>
    <row r="42" spans="1:14" ht="12.75" customHeight="1" x14ac:dyDescent="0.25">
      <c r="A42" s="596" t="s">
        <v>1620</v>
      </c>
      <c r="B42" s="73"/>
      <c r="C42" s="109"/>
      <c r="D42" s="109"/>
      <c r="E42" s="109"/>
      <c r="F42" s="109"/>
      <c r="G42" s="109"/>
      <c r="H42" s="109"/>
      <c r="I42" s="109"/>
      <c r="J42" s="75">
        <f t="shared" si="2"/>
        <v>0</v>
      </c>
      <c r="K42" s="75">
        <f t="shared" si="3"/>
        <v>0</v>
      </c>
      <c r="L42" s="109"/>
      <c r="M42" s="110"/>
      <c r="N42" s="852"/>
    </row>
    <row r="43" spans="1:14" ht="12.75" customHeight="1" x14ac:dyDescent="0.25">
      <c r="A43" s="596" t="s">
        <v>1621</v>
      </c>
      <c r="B43" s="73"/>
      <c r="C43" s="109"/>
      <c r="D43" s="109"/>
      <c r="E43" s="109"/>
      <c r="F43" s="109"/>
      <c r="G43" s="109"/>
      <c r="H43" s="109"/>
      <c r="I43" s="109"/>
      <c r="J43" s="75">
        <f t="shared" si="2"/>
        <v>0</v>
      </c>
      <c r="K43" s="75">
        <f t="shared" si="3"/>
        <v>0</v>
      </c>
      <c r="L43" s="109"/>
      <c r="M43" s="110"/>
      <c r="N43" s="852"/>
    </row>
    <row r="44" spans="1:14" ht="12.75" customHeight="1" x14ac:dyDescent="0.25">
      <c r="A44" s="596" t="s">
        <v>1622</v>
      </c>
      <c r="B44" s="73"/>
      <c r="C44" s="109"/>
      <c r="D44" s="109"/>
      <c r="E44" s="109"/>
      <c r="F44" s="109"/>
      <c r="G44" s="109"/>
      <c r="H44" s="109"/>
      <c r="I44" s="109"/>
      <c r="J44" s="75">
        <f t="shared" si="2"/>
        <v>0</v>
      </c>
      <c r="K44" s="75">
        <f t="shared" si="3"/>
        <v>0</v>
      </c>
      <c r="L44" s="109"/>
      <c r="M44" s="110"/>
      <c r="N44" s="847"/>
    </row>
    <row r="45" spans="1:14" ht="12.75" customHeight="1" x14ac:dyDescent="0.25">
      <c r="A45" s="596" t="s">
        <v>1594</v>
      </c>
      <c r="B45" s="73"/>
      <c r="C45" s="109"/>
      <c r="D45" s="109"/>
      <c r="E45" s="109"/>
      <c r="F45" s="109"/>
      <c r="G45" s="109"/>
      <c r="H45" s="109"/>
      <c r="I45" s="109"/>
      <c r="J45" s="75">
        <f t="shared" si="2"/>
        <v>0</v>
      </c>
      <c r="K45" s="75">
        <f t="shared" si="3"/>
        <v>0</v>
      </c>
      <c r="L45" s="109"/>
      <c r="M45" s="110"/>
      <c r="N45" s="852"/>
    </row>
    <row r="46" spans="1:14" ht="12.75" customHeight="1" x14ac:dyDescent="0.25">
      <c r="A46" s="597" t="s">
        <v>1623</v>
      </c>
      <c r="B46" s="73"/>
      <c r="C46" s="1135">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1624</v>
      </c>
      <c r="B47" s="73"/>
      <c r="C47" s="109"/>
      <c r="D47" s="109"/>
      <c r="E47" s="109"/>
      <c r="F47" s="109"/>
      <c r="G47" s="109"/>
      <c r="H47" s="109"/>
      <c r="I47" s="109"/>
      <c r="J47" s="75">
        <f t="shared" si="2"/>
        <v>0</v>
      </c>
      <c r="K47" s="75">
        <f t="shared" si="3"/>
        <v>0</v>
      </c>
      <c r="L47" s="109"/>
      <c r="M47" s="110"/>
      <c r="N47" s="847"/>
    </row>
    <row r="48" spans="1:14" ht="12.75" customHeight="1" x14ac:dyDescent="0.25">
      <c r="A48" s="596" t="s">
        <v>1625</v>
      </c>
      <c r="B48" s="73"/>
      <c r="C48" s="109"/>
      <c r="D48" s="109"/>
      <c r="E48" s="109"/>
      <c r="F48" s="109"/>
      <c r="G48" s="109"/>
      <c r="H48" s="109"/>
      <c r="I48" s="109"/>
      <c r="J48" s="75">
        <f t="shared" si="2"/>
        <v>0</v>
      </c>
      <c r="K48" s="75">
        <f t="shared" si="3"/>
        <v>0</v>
      </c>
      <c r="L48" s="109"/>
      <c r="M48" s="110"/>
      <c r="N48" s="847"/>
    </row>
    <row r="49" spans="1:14" ht="12.75" customHeight="1" x14ac:dyDescent="0.25">
      <c r="A49" s="596" t="s">
        <v>1626</v>
      </c>
      <c r="B49" s="73"/>
      <c r="C49" s="109"/>
      <c r="D49" s="109"/>
      <c r="E49" s="109"/>
      <c r="F49" s="109"/>
      <c r="G49" s="109"/>
      <c r="H49" s="109"/>
      <c r="I49" s="109"/>
      <c r="J49" s="75">
        <f t="shared" si="2"/>
        <v>0</v>
      </c>
      <c r="K49" s="75">
        <f t="shared" si="3"/>
        <v>0</v>
      </c>
      <c r="L49" s="109"/>
      <c r="M49" s="110"/>
      <c r="N49" s="852"/>
    </row>
    <row r="50" spans="1:14" ht="12.75" customHeight="1" x14ac:dyDescent="0.25">
      <c r="A50" s="596" t="s">
        <v>1627</v>
      </c>
      <c r="B50" s="73"/>
      <c r="C50" s="109"/>
      <c r="D50" s="109"/>
      <c r="E50" s="109"/>
      <c r="F50" s="109"/>
      <c r="G50" s="109"/>
      <c r="H50" s="109"/>
      <c r="I50" s="109"/>
      <c r="J50" s="75">
        <f t="shared" si="2"/>
        <v>0</v>
      </c>
      <c r="K50" s="75">
        <f t="shared" si="3"/>
        <v>0</v>
      </c>
      <c r="L50" s="109"/>
      <c r="M50" s="110"/>
      <c r="N50" s="852"/>
    </row>
    <row r="51" spans="1:14" ht="12.75" customHeight="1" x14ac:dyDescent="0.25">
      <c r="A51" s="596" t="s">
        <v>1628</v>
      </c>
      <c r="B51" s="73"/>
      <c r="C51" s="109"/>
      <c r="D51" s="109"/>
      <c r="E51" s="109"/>
      <c r="F51" s="109"/>
      <c r="G51" s="109"/>
      <c r="H51" s="109"/>
      <c r="I51" s="109"/>
      <c r="J51" s="75">
        <f t="shared" si="2"/>
        <v>0</v>
      </c>
      <c r="K51" s="75">
        <f t="shared" si="3"/>
        <v>0</v>
      </c>
      <c r="L51" s="109"/>
      <c r="M51" s="110"/>
      <c r="N51" s="852"/>
    </row>
    <row r="52" spans="1:14" ht="12.75" customHeight="1" x14ac:dyDescent="0.25">
      <c r="A52" s="596" t="s">
        <v>1629</v>
      </c>
      <c r="B52" s="73"/>
      <c r="C52" s="109"/>
      <c r="D52" s="109"/>
      <c r="E52" s="109"/>
      <c r="F52" s="109"/>
      <c r="G52" s="109"/>
      <c r="H52" s="109"/>
      <c r="I52" s="109"/>
      <c r="J52" s="75">
        <f t="shared" si="2"/>
        <v>0</v>
      </c>
      <c r="K52" s="75">
        <f t="shared" si="3"/>
        <v>0</v>
      </c>
      <c r="L52" s="109"/>
      <c r="M52" s="110"/>
      <c r="N52" s="847"/>
    </row>
    <row r="53" spans="1:14" ht="12.75" customHeight="1" x14ac:dyDescent="0.25">
      <c r="A53" s="596" t="s">
        <v>1594</v>
      </c>
      <c r="B53" s="73"/>
      <c r="C53" s="109"/>
      <c r="D53" s="109"/>
      <c r="E53" s="109"/>
      <c r="F53" s="109"/>
      <c r="G53" s="109"/>
      <c r="H53" s="109"/>
      <c r="I53" s="109"/>
      <c r="J53" s="75">
        <f t="shared" si="2"/>
        <v>0</v>
      </c>
      <c r="K53" s="75">
        <f t="shared" si="3"/>
        <v>0</v>
      </c>
      <c r="L53" s="109"/>
      <c r="M53" s="110"/>
      <c r="N53" s="852"/>
    </row>
    <row r="54" spans="1:14" ht="12.75" customHeight="1" x14ac:dyDescent="0.25">
      <c r="A54" s="595" t="s">
        <v>1630</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1631</v>
      </c>
      <c r="B55" s="73"/>
      <c r="C55" s="109"/>
      <c r="D55" s="109"/>
      <c r="E55" s="109"/>
      <c r="F55" s="109"/>
      <c r="G55" s="109"/>
      <c r="H55" s="109"/>
      <c r="I55" s="109"/>
      <c r="J55" s="75">
        <f t="shared" si="2"/>
        <v>0</v>
      </c>
      <c r="K55" s="75">
        <f t="shared" si="3"/>
        <v>0</v>
      </c>
      <c r="L55" s="109"/>
      <c r="M55" s="110"/>
      <c r="N55" s="847"/>
    </row>
    <row r="56" spans="1:14" ht="12.75" customHeight="1" x14ac:dyDescent="0.25">
      <c r="A56" s="596" t="s">
        <v>1632</v>
      </c>
      <c r="B56" s="73"/>
      <c r="C56" s="109"/>
      <c r="D56" s="109"/>
      <c r="E56" s="109"/>
      <c r="F56" s="109"/>
      <c r="G56" s="109"/>
      <c r="H56" s="109"/>
      <c r="I56" s="109"/>
      <c r="J56" s="75">
        <f t="shared" si="2"/>
        <v>0</v>
      </c>
      <c r="K56" s="75">
        <f t="shared" si="3"/>
        <v>0</v>
      </c>
      <c r="L56" s="109"/>
      <c r="M56" s="110"/>
      <c r="N56" s="847"/>
    </row>
    <row r="57" spans="1:14" ht="12.75" customHeight="1" x14ac:dyDescent="0.25">
      <c r="A57" s="596" t="s">
        <v>1633</v>
      </c>
      <c r="B57" s="73"/>
      <c r="C57" s="109"/>
      <c r="D57" s="109"/>
      <c r="E57" s="109"/>
      <c r="F57" s="109"/>
      <c r="G57" s="109"/>
      <c r="H57" s="109"/>
      <c r="I57" s="109"/>
      <c r="J57" s="75">
        <f t="shared" si="2"/>
        <v>0</v>
      </c>
      <c r="K57" s="75">
        <f t="shared" si="3"/>
        <v>0</v>
      </c>
      <c r="L57" s="109"/>
      <c r="M57" s="110"/>
      <c r="N57" s="852"/>
    </row>
    <row r="58" spans="1:14" ht="12.75" customHeight="1" x14ac:dyDescent="0.25">
      <c r="A58" s="596" t="s">
        <v>1596</v>
      </c>
      <c r="B58" s="73"/>
      <c r="C58" s="109"/>
      <c r="D58" s="109"/>
      <c r="E58" s="109"/>
      <c r="F58" s="109"/>
      <c r="G58" s="109"/>
      <c r="H58" s="109"/>
      <c r="I58" s="109"/>
      <c r="J58" s="75">
        <f t="shared" si="2"/>
        <v>0</v>
      </c>
      <c r="K58" s="75">
        <f t="shared" si="3"/>
        <v>0</v>
      </c>
      <c r="L58" s="109"/>
      <c r="M58" s="110"/>
      <c r="N58" s="852"/>
    </row>
    <row r="59" spans="1:14" ht="12.75" customHeight="1" x14ac:dyDescent="0.25">
      <c r="A59" s="596" t="s">
        <v>1597</v>
      </c>
      <c r="B59" s="73"/>
      <c r="C59" s="109"/>
      <c r="D59" s="109"/>
      <c r="E59" s="109"/>
      <c r="F59" s="109"/>
      <c r="G59" s="109"/>
      <c r="H59" s="109"/>
      <c r="I59" s="109"/>
      <c r="J59" s="75">
        <f t="shared" si="2"/>
        <v>0</v>
      </c>
      <c r="K59" s="75">
        <f t="shared" si="3"/>
        <v>0</v>
      </c>
      <c r="L59" s="109"/>
      <c r="M59" s="110"/>
      <c r="N59" s="852"/>
    </row>
    <row r="60" spans="1:14" ht="12.75" customHeight="1" x14ac:dyDescent="0.25">
      <c r="A60" s="596" t="s">
        <v>1598</v>
      </c>
      <c r="B60" s="73"/>
      <c r="C60" s="109"/>
      <c r="D60" s="109"/>
      <c r="E60" s="109"/>
      <c r="F60" s="109"/>
      <c r="G60" s="109"/>
      <c r="H60" s="109"/>
      <c r="I60" s="109"/>
      <c r="J60" s="75">
        <f t="shared" si="2"/>
        <v>0</v>
      </c>
      <c r="K60" s="75">
        <f t="shared" si="3"/>
        <v>0</v>
      </c>
      <c r="L60" s="109"/>
      <c r="M60" s="110"/>
      <c r="N60" s="852"/>
    </row>
    <row r="61" spans="1:14" ht="12.75" customHeight="1" x14ac:dyDescent="0.25">
      <c r="A61" s="596" t="s">
        <v>1604</v>
      </c>
      <c r="B61" s="73"/>
      <c r="C61" s="109"/>
      <c r="D61" s="109"/>
      <c r="E61" s="109"/>
      <c r="F61" s="109"/>
      <c r="G61" s="109"/>
      <c r="H61" s="109"/>
      <c r="I61" s="109"/>
      <c r="J61" s="75">
        <f t="shared" si="2"/>
        <v>0</v>
      </c>
      <c r="K61" s="75">
        <f t="shared" si="3"/>
        <v>0</v>
      </c>
      <c r="L61" s="109"/>
      <c r="M61" s="110"/>
      <c r="N61" s="852"/>
    </row>
    <row r="62" spans="1:14" ht="12.75" customHeight="1" x14ac:dyDescent="0.25">
      <c r="A62" s="596" t="s">
        <v>1607</v>
      </c>
      <c r="B62" s="73"/>
      <c r="C62" s="109"/>
      <c r="D62" s="109"/>
      <c r="E62" s="109"/>
      <c r="F62" s="109"/>
      <c r="G62" s="109"/>
      <c r="H62" s="109"/>
      <c r="I62" s="109"/>
      <c r="J62" s="75">
        <f t="shared" si="2"/>
        <v>0</v>
      </c>
      <c r="K62" s="75">
        <f t="shared" si="3"/>
        <v>0</v>
      </c>
      <c r="L62" s="109"/>
      <c r="M62" s="110"/>
      <c r="N62" s="847"/>
    </row>
    <row r="63" spans="1:14" ht="12.75" customHeight="1" x14ac:dyDescent="0.25">
      <c r="A63" s="596" t="s">
        <v>1594</v>
      </c>
      <c r="B63" s="73"/>
      <c r="C63" s="109"/>
      <c r="D63" s="109"/>
      <c r="E63" s="109"/>
      <c r="F63" s="109"/>
      <c r="G63" s="109"/>
      <c r="H63" s="109"/>
      <c r="I63" s="109"/>
      <c r="J63" s="75">
        <f t="shared" si="2"/>
        <v>0</v>
      </c>
      <c r="K63" s="75">
        <f t="shared" si="3"/>
        <v>0</v>
      </c>
      <c r="L63" s="109"/>
      <c r="M63" s="110"/>
      <c r="N63" s="852"/>
    </row>
    <row r="64" spans="1:14" ht="12.75" customHeight="1" x14ac:dyDescent="0.25">
      <c r="A64" s="597" t="s">
        <v>1634</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1635</v>
      </c>
      <c r="B65" s="73"/>
      <c r="C65" s="109"/>
      <c r="D65" s="109"/>
      <c r="E65" s="109"/>
      <c r="F65" s="109"/>
      <c r="G65" s="109"/>
      <c r="H65" s="109"/>
      <c r="I65" s="109"/>
      <c r="J65" s="75">
        <f t="shared" si="2"/>
        <v>0</v>
      </c>
      <c r="K65" s="75">
        <f t="shared" si="3"/>
        <v>0</v>
      </c>
      <c r="L65" s="109"/>
      <c r="M65" s="110"/>
      <c r="N65" s="847"/>
    </row>
    <row r="66" spans="1:14" ht="12.75" customHeight="1" x14ac:dyDescent="0.25">
      <c r="A66" s="596" t="s">
        <v>1636</v>
      </c>
      <c r="B66" s="73"/>
      <c r="C66" s="109"/>
      <c r="D66" s="109"/>
      <c r="E66" s="109"/>
      <c r="F66" s="109"/>
      <c r="G66" s="109"/>
      <c r="H66" s="109"/>
      <c r="I66" s="109"/>
      <c r="J66" s="75">
        <f t="shared" si="2"/>
        <v>0</v>
      </c>
      <c r="K66" s="75">
        <f t="shared" si="3"/>
        <v>0</v>
      </c>
      <c r="L66" s="109"/>
      <c r="M66" s="110"/>
      <c r="N66" s="847"/>
    </row>
    <row r="67" spans="1:14" ht="12.75" customHeight="1" x14ac:dyDescent="0.25">
      <c r="A67" s="596" t="s">
        <v>1637</v>
      </c>
      <c r="B67" s="73"/>
      <c r="C67" s="109"/>
      <c r="D67" s="109"/>
      <c r="E67" s="109"/>
      <c r="F67" s="109"/>
      <c r="G67" s="109"/>
      <c r="H67" s="109"/>
      <c r="I67" s="109"/>
      <c r="J67" s="75">
        <f t="shared" si="2"/>
        <v>0</v>
      </c>
      <c r="K67" s="75">
        <f t="shared" si="3"/>
        <v>0</v>
      </c>
      <c r="L67" s="109"/>
      <c r="M67" s="110"/>
      <c r="N67" s="852"/>
    </row>
    <row r="68" spans="1:14" ht="12.75" customHeight="1" x14ac:dyDescent="0.25">
      <c r="A68" s="596" t="s">
        <v>1638</v>
      </c>
      <c r="B68" s="73"/>
      <c r="C68" s="109"/>
      <c r="D68" s="109"/>
      <c r="E68" s="109"/>
      <c r="F68" s="109"/>
      <c r="G68" s="109"/>
      <c r="H68" s="109"/>
      <c r="I68" s="109"/>
      <c r="J68" s="75">
        <f t="shared" si="2"/>
        <v>0</v>
      </c>
      <c r="K68" s="75">
        <f t="shared" si="3"/>
        <v>0</v>
      </c>
      <c r="L68" s="109"/>
      <c r="M68" s="110"/>
      <c r="N68" s="847"/>
    </row>
    <row r="69" spans="1:14" ht="12.75" customHeight="1" x14ac:dyDescent="0.25">
      <c r="A69" s="596" t="s">
        <v>1594</v>
      </c>
      <c r="B69" s="73"/>
      <c r="C69" s="109"/>
      <c r="D69" s="109"/>
      <c r="E69" s="109"/>
      <c r="F69" s="109"/>
      <c r="G69" s="109"/>
      <c r="H69" s="109"/>
      <c r="I69" s="109"/>
      <c r="J69" s="75">
        <f t="shared" si="2"/>
        <v>0</v>
      </c>
      <c r="K69" s="75">
        <f t="shared" si="3"/>
        <v>0</v>
      </c>
      <c r="L69" s="109"/>
      <c r="M69" s="110"/>
      <c r="N69" s="852"/>
    </row>
    <row r="70" spans="1:14" ht="12.75" customHeight="1" x14ac:dyDescent="0.25">
      <c r="A70" s="595" t="s">
        <v>1639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2"/>
    </row>
    <row r="71" spans="1:14" ht="12.75" customHeight="1" x14ac:dyDescent="0.25">
      <c r="A71" s="596" t="s">
        <v>1640</v>
      </c>
      <c r="B71" s="73"/>
      <c r="C71" s="109"/>
      <c r="D71" s="109"/>
      <c r="E71" s="109"/>
      <c r="F71" s="109"/>
      <c r="G71" s="109"/>
      <c r="H71" s="109"/>
      <c r="I71" s="109"/>
      <c r="J71" s="75">
        <f t="shared" si="2"/>
        <v>0</v>
      </c>
      <c r="K71" s="75">
        <f t="shared" si="3"/>
        <v>0</v>
      </c>
      <c r="L71" s="109"/>
      <c r="M71" s="110"/>
      <c r="N71" s="852"/>
    </row>
    <row r="72" spans="1:14" ht="12.75" customHeight="1" x14ac:dyDescent="0.25">
      <c r="A72" s="596" t="s">
        <v>1641</v>
      </c>
      <c r="B72" s="73"/>
      <c r="C72" s="109"/>
      <c r="D72" s="109"/>
      <c r="E72" s="109"/>
      <c r="F72" s="109"/>
      <c r="G72" s="109"/>
      <c r="H72" s="109"/>
      <c r="I72" s="109"/>
      <c r="J72" s="75">
        <f t="shared" si="2"/>
        <v>0</v>
      </c>
      <c r="K72" s="75">
        <f t="shared" si="3"/>
        <v>0</v>
      </c>
      <c r="L72" s="109"/>
      <c r="M72" s="110"/>
      <c r="N72" s="852"/>
    </row>
    <row r="73" spans="1:14" ht="12.75" customHeight="1" x14ac:dyDescent="0.25">
      <c r="A73" s="596" t="s">
        <v>1642</v>
      </c>
      <c r="B73" s="73"/>
      <c r="C73" s="109"/>
      <c r="D73" s="109"/>
      <c r="E73" s="109"/>
      <c r="F73" s="109"/>
      <c r="G73" s="109"/>
      <c r="H73" s="109"/>
      <c r="I73" s="109"/>
      <c r="J73" s="75">
        <f>SUM(E73:I73)</f>
        <v>0</v>
      </c>
      <c r="K73" s="75">
        <f>IF(D73=0,C73+J73,D73+J73)</f>
        <v>0</v>
      </c>
      <c r="L73" s="109"/>
      <c r="M73" s="110"/>
      <c r="N73" s="852"/>
    </row>
    <row r="74" spans="1:14" ht="12.75" customHeight="1" x14ac:dyDescent="0.25">
      <c r="A74" s="596" t="s">
        <v>1594</v>
      </c>
      <c r="B74" s="73"/>
      <c r="C74" s="109"/>
      <c r="D74" s="109"/>
      <c r="E74" s="109"/>
      <c r="F74" s="109"/>
      <c r="G74" s="109"/>
      <c r="H74" s="109"/>
      <c r="I74" s="109"/>
      <c r="J74" s="75">
        <f>SUM(E74:I74)</f>
        <v>0</v>
      </c>
      <c r="K74" s="75">
        <f>IF(D74=0,C74+J74,D74+J74)</f>
        <v>0</v>
      </c>
      <c r="L74" s="109"/>
      <c r="M74" s="110"/>
      <c r="N74" s="852"/>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1643</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1644</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2"/>
    </row>
    <row r="78" spans="1:14" ht="12.75" customHeight="1" x14ac:dyDescent="0.25">
      <c r="A78" s="596" t="s">
        <v>1645</v>
      </c>
      <c r="B78" s="73"/>
      <c r="C78" s="130"/>
      <c r="D78" s="109"/>
      <c r="E78" s="109"/>
      <c r="F78" s="109"/>
      <c r="G78" s="109"/>
      <c r="H78" s="109"/>
      <c r="I78" s="109"/>
      <c r="J78" s="75">
        <f t="shared" si="13"/>
        <v>0</v>
      </c>
      <c r="K78" s="75">
        <f t="shared" si="14"/>
        <v>0</v>
      </c>
      <c r="L78" s="109"/>
      <c r="M78" s="110"/>
      <c r="N78" s="128"/>
    </row>
    <row r="79" spans="1:14" ht="12.75" customHeight="1" x14ac:dyDescent="0.25">
      <c r="A79" s="596" t="s">
        <v>1646</v>
      </c>
      <c r="B79" s="73"/>
      <c r="C79" s="130"/>
      <c r="D79" s="109"/>
      <c r="E79" s="109"/>
      <c r="F79" s="109"/>
      <c r="G79" s="109"/>
      <c r="H79" s="109"/>
      <c r="I79" s="109"/>
      <c r="J79" s="75">
        <f t="shared" si="13"/>
        <v>0</v>
      </c>
      <c r="K79" s="75">
        <f t="shared" si="14"/>
        <v>0</v>
      </c>
      <c r="L79" s="109"/>
      <c r="M79" s="110"/>
      <c r="N79" s="128"/>
    </row>
    <row r="80" spans="1:14" ht="12.75" customHeight="1" x14ac:dyDescent="0.25">
      <c r="A80" s="596" t="s">
        <v>1647</v>
      </c>
      <c r="B80" s="73"/>
      <c r="C80" s="130"/>
      <c r="D80" s="109"/>
      <c r="E80" s="109"/>
      <c r="F80" s="109"/>
      <c r="G80" s="109"/>
      <c r="H80" s="109"/>
      <c r="I80" s="109"/>
      <c r="J80" s="75">
        <f t="shared" si="13"/>
        <v>0</v>
      </c>
      <c r="K80" s="75">
        <f t="shared" si="14"/>
        <v>0</v>
      </c>
      <c r="L80" s="109"/>
      <c r="M80" s="110"/>
      <c r="N80" s="128"/>
    </row>
    <row r="81" spans="1:14" ht="12.75" customHeight="1" x14ac:dyDescent="0.25">
      <c r="A81" s="596" t="s">
        <v>1648</v>
      </c>
      <c r="B81" s="73"/>
      <c r="C81" s="130"/>
      <c r="D81" s="109"/>
      <c r="E81" s="109"/>
      <c r="F81" s="109"/>
      <c r="G81" s="109"/>
      <c r="H81" s="109"/>
      <c r="I81" s="109"/>
      <c r="J81" s="75">
        <f t="shared" si="13"/>
        <v>0</v>
      </c>
      <c r="K81" s="75">
        <f t="shared" si="14"/>
        <v>0</v>
      </c>
      <c r="L81" s="109"/>
      <c r="M81" s="110"/>
      <c r="N81" s="128"/>
    </row>
    <row r="82" spans="1:14" ht="12.75" customHeight="1" x14ac:dyDescent="0.25">
      <c r="A82" s="596" t="s">
        <v>1649</v>
      </c>
      <c r="B82" s="73"/>
      <c r="C82" s="130"/>
      <c r="D82" s="109"/>
      <c r="E82" s="109"/>
      <c r="F82" s="109"/>
      <c r="G82" s="109"/>
      <c r="H82" s="109"/>
      <c r="I82" s="109"/>
      <c r="J82" s="75">
        <f t="shared" si="13"/>
        <v>0</v>
      </c>
      <c r="K82" s="75">
        <f t="shared" si="14"/>
        <v>0</v>
      </c>
      <c r="L82" s="109"/>
      <c r="M82" s="110"/>
      <c r="N82" s="128"/>
    </row>
    <row r="83" spans="1:14" ht="12.75" customHeight="1" x14ac:dyDescent="0.25">
      <c r="A83" s="596" t="s">
        <v>1650</v>
      </c>
      <c r="B83" s="73"/>
      <c r="C83" s="130"/>
      <c r="D83" s="109"/>
      <c r="E83" s="109"/>
      <c r="F83" s="109"/>
      <c r="G83" s="109"/>
      <c r="H83" s="109"/>
      <c r="I83" s="109"/>
      <c r="J83" s="75">
        <f t="shared" si="13"/>
        <v>0</v>
      </c>
      <c r="K83" s="75">
        <f t="shared" si="14"/>
        <v>0</v>
      </c>
      <c r="L83" s="109"/>
      <c r="M83" s="110"/>
      <c r="N83" s="128"/>
    </row>
    <row r="84" spans="1:14" ht="12.75" customHeight="1" x14ac:dyDescent="0.25">
      <c r="A84" s="596" t="s">
        <v>1651</v>
      </c>
      <c r="B84" s="73"/>
      <c r="C84" s="130"/>
      <c r="D84" s="109"/>
      <c r="E84" s="109"/>
      <c r="F84" s="109"/>
      <c r="G84" s="109"/>
      <c r="H84" s="109"/>
      <c r="I84" s="109"/>
      <c r="J84" s="75">
        <f t="shared" si="13"/>
        <v>0</v>
      </c>
      <c r="K84" s="75">
        <f t="shared" si="14"/>
        <v>0</v>
      </c>
      <c r="L84" s="109"/>
      <c r="M84" s="110"/>
      <c r="N84" s="128"/>
    </row>
    <row r="85" spans="1:14" ht="12.75" customHeight="1" x14ac:dyDescent="0.25">
      <c r="A85" s="596" t="s">
        <v>1652</v>
      </c>
      <c r="B85" s="73"/>
      <c r="C85" s="130"/>
      <c r="D85" s="109"/>
      <c r="E85" s="109"/>
      <c r="F85" s="109"/>
      <c r="G85" s="109"/>
      <c r="H85" s="109"/>
      <c r="I85" s="109"/>
      <c r="J85" s="75">
        <f t="shared" si="13"/>
        <v>0</v>
      </c>
      <c r="K85" s="75">
        <f t="shared" si="14"/>
        <v>0</v>
      </c>
      <c r="L85" s="109"/>
      <c r="M85" s="110"/>
      <c r="N85" s="128"/>
    </row>
    <row r="86" spans="1:14" ht="12.75" customHeight="1" x14ac:dyDescent="0.25">
      <c r="A86" s="596" t="s">
        <v>1532</v>
      </c>
      <c r="B86" s="73"/>
      <c r="C86" s="130"/>
      <c r="D86" s="109"/>
      <c r="E86" s="109"/>
      <c r="F86" s="109"/>
      <c r="G86" s="109"/>
      <c r="H86" s="109"/>
      <c r="I86" s="109"/>
      <c r="J86" s="75">
        <f t="shared" si="13"/>
        <v>0</v>
      </c>
      <c r="K86" s="75">
        <f t="shared" si="14"/>
        <v>0</v>
      </c>
      <c r="L86" s="109"/>
      <c r="M86" s="110"/>
      <c r="N86" s="128"/>
    </row>
    <row r="87" spans="1:14" ht="12.75" customHeight="1" x14ac:dyDescent="0.25">
      <c r="A87" s="596" t="s">
        <v>491</v>
      </c>
      <c r="B87" s="73"/>
      <c r="C87" s="130"/>
      <c r="D87" s="109"/>
      <c r="E87" s="109"/>
      <c r="F87" s="109"/>
      <c r="G87" s="109"/>
      <c r="H87" s="109"/>
      <c r="I87" s="109"/>
      <c r="J87" s="75">
        <f t="shared" si="13"/>
        <v>0</v>
      </c>
      <c r="K87" s="75">
        <f t="shared" si="14"/>
        <v>0</v>
      </c>
      <c r="L87" s="109"/>
      <c r="M87" s="110"/>
      <c r="N87" s="128"/>
    </row>
    <row r="88" spans="1:14" ht="12.75" customHeight="1" x14ac:dyDescent="0.25">
      <c r="A88" s="596" t="s">
        <v>1653</v>
      </c>
      <c r="B88" s="73"/>
      <c r="C88" s="130"/>
      <c r="D88" s="109"/>
      <c r="E88" s="109"/>
      <c r="F88" s="109"/>
      <c r="G88" s="109"/>
      <c r="H88" s="109"/>
      <c r="I88" s="109"/>
      <c r="J88" s="75">
        <f t="shared" si="13"/>
        <v>0</v>
      </c>
      <c r="K88" s="75">
        <f t="shared" si="14"/>
        <v>0</v>
      </c>
      <c r="L88" s="109"/>
      <c r="M88" s="110"/>
      <c r="N88" s="128"/>
    </row>
    <row r="89" spans="1:14" ht="12.75" customHeight="1" x14ac:dyDescent="0.25">
      <c r="A89" s="596" t="s">
        <v>1654</v>
      </c>
      <c r="B89" s="73"/>
      <c r="C89" s="130"/>
      <c r="D89" s="109"/>
      <c r="E89" s="109"/>
      <c r="F89" s="109"/>
      <c r="G89" s="109"/>
      <c r="H89" s="109"/>
      <c r="I89" s="109"/>
      <c r="J89" s="75">
        <f t="shared" si="13"/>
        <v>0</v>
      </c>
      <c r="K89" s="75">
        <f t="shared" si="14"/>
        <v>0</v>
      </c>
      <c r="L89" s="109"/>
      <c r="M89" s="110"/>
      <c r="N89" s="128"/>
    </row>
    <row r="90" spans="1:14" ht="12.75" customHeight="1" x14ac:dyDescent="0.25">
      <c r="A90" s="596" t="s">
        <v>1655</v>
      </c>
      <c r="B90" s="73"/>
      <c r="C90" s="130"/>
      <c r="D90" s="109"/>
      <c r="E90" s="109"/>
      <c r="F90" s="109"/>
      <c r="G90" s="109"/>
      <c r="H90" s="109"/>
      <c r="I90" s="109"/>
      <c r="J90" s="75">
        <f t="shared" si="13"/>
        <v>0</v>
      </c>
      <c r="K90" s="75">
        <f t="shared" si="14"/>
        <v>0</v>
      </c>
      <c r="L90" s="109"/>
      <c r="M90" s="110"/>
      <c r="N90" s="128"/>
    </row>
    <row r="91" spans="1:14" ht="12.75" customHeight="1" x14ac:dyDescent="0.25">
      <c r="A91" s="596" t="s">
        <v>1656</v>
      </c>
      <c r="B91" s="73"/>
      <c r="C91" s="130"/>
      <c r="D91" s="109"/>
      <c r="E91" s="109"/>
      <c r="F91" s="109"/>
      <c r="G91" s="109"/>
      <c r="H91" s="109"/>
      <c r="I91" s="109"/>
      <c r="J91" s="75">
        <f t="shared" si="13"/>
        <v>0</v>
      </c>
      <c r="K91" s="75">
        <f t="shared" si="14"/>
        <v>0</v>
      </c>
      <c r="L91" s="109"/>
      <c r="M91" s="110"/>
      <c r="N91" s="128"/>
    </row>
    <row r="92" spans="1:14" ht="12.75" customHeight="1" x14ac:dyDescent="0.25">
      <c r="A92" s="596" t="s">
        <v>1657</v>
      </c>
      <c r="B92" s="73"/>
      <c r="C92" s="130"/>
      <c r="D92" s="109"/>
      <c r="E92" s="109"/>
      <c r="F92" s="109"/>
      <c r="G92" s="109"/>
      <c r="H92" s="109"/>
      <c r="I92" s="109"/>
      <c r="J92" s="75">
        <f t="shared" si="13"/>
        <v>0</v>
      </c>
      <c r="K92" s="75">
        <f t="shared" si="14"/>
        <v>0</v>
      </c>
      <c r="L92" s="109"/>
      <c r="M92" s="110"/>
      <c r="N92" s="128"/>
    </row>
    <row r="93" spans="1:14" ht="12.75" customHeight="1" x14ac:dyDescent="0.25">
      <c r="A93" s="596" t="s">
        <v>1658</v>
      </c>
      <c r="B93" s="73"/>
      <c r="C93" s="130"/>
      <c r="D93" s="109"/>
      <c r="E93" s="109"/>
      <c r="F93" s="109"/>
      <c r="G93" s="109"/>
      <c r="H93" s="109"/>
      <c r="I93" s="109"/>
      <c r="J93" s="75">
        <f t="shared" si="13"/>
        <v>0</v>
      </c>
      <c r="K93" s="75">
        <f t="shared" si="14"/>
        <v>0</v>
      </c>
      <c r="L93" s="109"/>
      <c r="M93" s="110"/>
      <c r="N93" s="128"/>
    </row>
    <row r="94" spans="1:14" ht="12.75" customHeight="1" x14ac:dyDescent="0.25">
      <c r="A94" s="596" t="s">
        <v>508</v>
      </c>
      <c r="B94" s="73"/>
      <c r="C94" s="130"/>
      <c r="D94" s="109"/>
      <c r="E94" s="109"/>
      <c r="F94" s="109"/>
      <c r="G94" s="109"/>
      <c r="H94" s="109"/>
      <c r="I94" s="109"/>
      <c r="J94" s="75">
        <f t="shared" si="13"/>
        <v>0</v>
      </c>
      <c r="K94" s="75">
        <f t="shared" si="14"/>
        <v>0</v>
      </c>
      <c r="L94" s="109"/>
      <c r="M94" s="110"/>
      <c r="N94" s="128"/>
    </row>
    <row r="95" spans="1:14" ht="12.75" customHeight="1" x14ac:dyDescent="0.25">
      <c r="A95" s="596" t="s">
        <v>1659</v>
      </c>
      <c r="B95" s="73"/>
      <c r="C95" s="130"/>
      <c r="D95" s="109"/>
      <c r="E95" s="109"/>
      <c r="F95" s="109"/>
      <c r="G95" s="109"/>
      <c r="H95" s="109"/>
      <c r="I95" s="109"/>
      <c r="J95" s="75">
        <f t="shared" si="13"/>
        <v>0</v>
      </c>
      <c r="K95" s="75">
        <f t="shared" si="14"/>
        <v>0</v>
      </c>
      <c r="L95" s="109"/>
      <c r="M95" s="110"/>
      <c r="N95" s="128"/>
    </row>
    <row r="96" spans="1:14" ht="12.75" customHeight="1" x14ac:dyDescent="0.25">
      <c r="A96" s="596" t="s">
        <v>507</v>
      </c>
      <c r="B96" s="73"/>
      <c r="C96" s="130"/>
      <c r="D96" s="109"/>
      <c r="E96" s="109"/>
      <c r="F96" s="109"/>
      <c r="G96" s="109"/>
      <c r="H96" s="109"/>
      <c r="I96" s="109"/>
      <c r="J96" s="75">
        <f t="shared" si="13"/>
        <v>0</v>
      </c>
      <c r="K96" s="75">
        <f t="shared" si="14"/>
        <v>0</v>
      </c>
      <c r="L96" s="109"/>
      <c r="M96" s="110"/>
      <c r="N96" s="852"/>
    </row>
    <row r="97" spans="1:14" ht="12.75" customHeight="1" x14ac:dyDescent="0.25">
      <c r="A97" s="596" t="s">
        <v>1660</v>
      </c>
      <c r="B97" s="73"/>
      <c r="C97" s="130"/>
      <c r="D97" s="109"/>
      <c r="E97" s="109"/>
      <c r="F97" s="109"/>
      <c r="G97" s="109"/>
      <c r="H97" s="109"/>
      <c r="I97" s="109"/>
      <c r="J97" s="75">
        <f t="shared" si="13"/>
        <v>0</v>
      </c>
      <c r="K97" s="75">
        <f t="shared" si="14"/>
        <v>0</v>
      </c>
      <c r="L97" s="109"/>
      <c r="M97" s="110"/>
      <c r="N97" s="128"/>
    </row>
    <row r="98" spans="1:14" ht="12.75" customHeight="1" x14ac:dyDescent="0.25">
      <c r="A98" s="596" t="s">
        <v>1661</v>
      </c>
      <c r="B98" s="73"/>
      <c r="C98" s="130"/>
      <c r="D98" s="109"/>
      <c r="E98" s="109"/>
      <c r="F98" s="109"/>
      <c r="G98" s="109"/>
      <c r="H98" s="109"/>
      <c r="I98" s="109"/>
      <c r="J98" s="75">
        <f t="shared" si="13"/>
        <v>0</v>
      </c>
      <c r="K98" s="75">
        <f t="shared" si="14"/>
        <v>0</v>
      </c>
      <c r="L98" s="109"/>
      <c r="M98" s="110"/>
      <c r="N98" s="128"/>
    </row>
    <row r="99" spans="1:14" ht="12.75" customHeight="1" x14ac:dyDescent="0.25">
      <c r="A99" s="596" t="s">
        <v>1594</v>
      </c>
      <c r="B99" s="73"/>
      <c r="C99" s="130"/>
      <c r="D99" s="109"/>
      <c r="E99" s="109"/>
      <c r="F99" s="109"/>
      <c r="G99" s="109"/>
      <c r="H99" s="109"/>
      <c r="I99" s="109"/>
      <c r="J99" s="75">
        <f t="shared" si="13"/>
        <v>0</v>
      </c>
      <c r="K99" s="75">
        <f t="shared" si="14"/>
        <v>0</v>
      </c>
      <c r="L99" s="109"/>
      <c r="M99" s="110"/>
      <c r="N99" s="128"/>
    </row>
    <row r="100" spans="1:14" ht="10.15" customHeight="1" x14ac:dyDescent="0.25">
      <c r="A100" s="595" t="s">
        <v>1662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1663</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1664</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1594</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773</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1665</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1666</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1667</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1668</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1669</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39"/>
      <c r="B111" s="73"/>
      <c r="C111" s="74"/>
      <c r="D111" s="75"/>
      <c r="E111" s="75"/>
      <c r="F111" s="75"/>
      <c r="G111" s="75"/>
      <c r="H111" s="75"/>
      <c r="I111" s="75"/>
      <c r="J111" s="75"/>
      <c r="K111" s="75"/>
      <c r="L111" s="75"/>
      <c r="M111" s="76"/>
      <c r="N111" s="128"/>
    </row>
    <row r="112" spans="1:14" ht="12.75" customHeight="1" x14ac:dyDescent="0.25">
      <c r="A112" s="1240" t="s">
        <v>774</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1671</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1672</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1673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1671</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1672</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0" t="s">
        <v>775</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1674</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1675</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1676</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1677</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1678</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1679</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1680</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1681</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1682</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1683</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1684</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1594</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7" customFormat="1" ht="12.75" customHeight="1" x14ac:dyDescent="0.25">
      <c r="A134" s="596" t="s">
        <v>1685</v>
      </c>
      <c r="B134" s="1241"/>
      <c r="C134" s="1242"/>
      <c r="D134" s="1243"/>
      <c r="E134" s="1243"/>
      <c r="F134" s="1243"/>
      <c r="G134" s="1243"/>
      <c r="H134" s="1243"/>
      <c r="I134" s="1243"/>
      <c r="J134" s="1244">
        <f t="shared" si="13"/>
        <v>0</v>
      </c>
      <c r="K134" s="1244">
        <f t="shared" si="14"/>
        <v>0</v>
      </c>
      <c r="L134" s="1243"/>
      <c r="M134" s="1245"/>
      <c r="N134" s="1246"/>
    </row>
    <row r="135" spans="1:14" ht="12.75" customHeight="1" x14ac:dyDescent="0.25">
      <c r="A135" s="596" t="s">
        <v>1686</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1594</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1687</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48"/>
      <c r="B140" s="73"/>
      <c r="C140" s="74"/>
      <c r="D140" s="75"/>
      <c r="E140" s="75"/>
      <c r="F140" s="75"/>
      <c r="G140" s="75"/>
      <c r="H140" s="75"/>
      <c r="I140" s="75"/>
      <c r="J140" s="75"/>
      <c r="K140" s="75"/>
      <c r="L140" s="75"/>
      <c r="M140" s="76"/>
      <c r="N140" s="128"/>
    </row>
    <row r="141" spans="1:14" ht="12.75" customHeight="1" x14ac:dyDescent="0.25">
      <c r="A141" s="493" t="s">
        <v>1688</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1689</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1690</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1691</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1692</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1693</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1694</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1695</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1696</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48"/>
      <c r="B150" s="73"/>
      <c r="C150" s="74"/>
      <c r="D150" s="75"/>
      <c r="E150" s="75"/>
      <c r="F150" s="75"/>
      <c r="G150" s="75"/>
      <c r="H150" s="75"/>
      <c r="I150" s="75"/>
      <c r="J150" s="75"/>
      <c r="K150" s="75"/>
      <c r="L150" s="75"/>
      <c r="M150" s="76"/>
      <c r="N150" s="128"/>
    </row>
    <row r="151" spans="1:14" ht="12.75" customHeight="1" x14ac:dyDescent="0.25">
      <c r="A151" s="493" t="s">
        <v>1697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1697</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48"/>
      <c r="B153" s="73"/>
      <c r="C153" s="74"/>
      <c r="D153" s="75"/>
      <c r="E153" s="75"/>
      <c r="F153" s="75"/>
      <c r="G153" s="75"/>
      <c r="H153" s="75"/>
      <c r="I153" s="75"/>
      <c r="J153" s="75"/>
      <c r="K153" s="75"/>
      <c r="L153" s="75"/>
      <c r="M153" s="76"/>
      <c r="N153" s="128"/>
    </row>
    <row r="154" spans="1:14" ht="12.75" customHeight="1" x14ac:dyDescent="0.25">
      <c r="A154" s="493" t="s">
        <v>1698</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1698</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48"/>
      <c r="B156" s="73"/>
      <c r="C156" s="74"/>
      <c r="D156" s="75"/>
      <c r="E156" s="75"/>
      <c r="F156" s="75"/>
      <c r="G156" s="75"/>
      <c r="H156" s="75"/>
      <c r="I156" s="75"/>
      <c r="J156" s="75"/>
      <c r="K156" s="75"/>
      <c r="L156" s="75"/>
      <c r="M156" s="76"/>
      <c r="N156" s="128"/>
    </row>
    <row r="157" spans="1:14" ht="12.75" customHeight="1" x14ac:dyDescent="0.25">
      <c r="A157" s="493" t="s">
        <v>1699</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1699</v>
      </c>
      <c r="B158" s="73"/>
      <c r="C158" s="130"/>
      <c r="D158" s="109"/>
      <c r="E158" s="109"/>
      <c r="F158" s="109"/>
      <c r="G158" s="109"/>
      <c r="H158" s="109"/>
      <c r="I158" s="109"/>
      <c r="J158" s="75">
        <f>SUM(E158:I158)</f>
        <v>0</v>
      </c>
      <c r="K158" s="75">
        <f>IF(D158=0,C158+J158,D158+J158)</f>
        <v>0</v>
      </c>
      <c r="L158" s="109"/>
      <c r="M158" s="110"/>
      <c r="N158" s="128"/>
    </row>
    <row r="159" spans="1:14" ht="4.9000000000000004" customHeight="1" x14ac:dyDescent="0.25">
      <c r="A159" s="1248"/>
      <c r="B159" s="73"/>
      <c r="C159" s="74"/>
      <c r="D159" s="75"/>
      <c r="E159" s="75"/>
      <c r="F159" s="75"/>
      <c r="G159" s="75"/>
      <c r="H159" s="75"/>
      <c r="I159" s="75"/>
      <c r="J159" s="75"/>
      <c r="K159" s="75"/>
      <c r="L159" s="75"/>
      <c r="M159" s="76"/>
      <c r="N159" s="128"/>
    </row>
    <row r="160" spans="1:14" ht="12.75" customHeight="1" x14ac:dyDescent="0.25">
      <c r="A160" s="493" t="s">
        <v>1700</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1700</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48"/>
      <c r="B162" s="73"/>
      <c r="C162" s="74"/>
      <c r="D162" s="75"/>
      <c r="E162" s="75"/>
      <c r="F162" s="75"/>
      <c r="G162" s="75"/>
      <c r="H162" s="75"/>
      <c r="I162" s="75"/>
      <c r="J162" s="75"/>
      <c r="K162" s="75"/>
      <c r="L162" s="75"/>
      <c r="M162" s="76"/>
      <c r="N162" s="128"/>
    </row>
    <row r="163" spans="1:14" ht="12.75" customHeight="1" x14ac:dyDescent="0.25">
      <c r="A163" s="493" t="s">
        <v>1757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1757</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48"/>
      <c r="B165" s="73"/>
      <c r="C165" s="74"/>
      <c r="D165" s="75"/>
      <c r="E165" s="75"/>
      <c r="F165" s="75"/>
      <c r="G165" s="75"/>
      <c r="H165" s="75"/>
      <c r="I165" s="75"/>
      <c r="J165" s="75"/>
      <c r="K165" s="75"/>
      <c r="L165" s="75"/>
      <c r="M165" s="76"/>
      <c r="N165" s="128"/>
    </row>
    <row r="166" spans="1:14" ht="12.75" customHeight="1" x14ac:dyDescent="0.25">
      <c r="A166" s="493" t="s">
        <v>1701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1701</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6" t="s">
        <v>1203</v>
      </c>
      <c r="B169" s="156">
        <v>1</v>
      </c>
      <c r="C169" s="157">
        <f>C8+C76+C105+C112+C120+C151+C138+C141+C154+C157+C160+C163+C166</f>
        <v>52011231.759999998</v>
      </c>
      <c r="D169" s="117">
        <f t="shared" ref="D169:M169" si="35">D8+D76+D105+D112+D120+D151+D138+D141+D154+D157+D160+D163+D166</f>
        <v>0</v>
      </c>
      <c r="E169" s="117">
        <f t="shared" si="35"/>
        <v>0</v>
      </c>
      <c r="F169" s="117">
        <f t="shared" si="35"/>
        <v>0</v>
      </c>
      <c r="G169" s="117">
        <f t="shared" si="35"/>
        <v>0</v>
      </c>
      <c r="H169" s="117">
        <f t="shared" si="35"/>
        <v>0</v>
      </c>
      <c r="I169" s="117">
        <f t="shared" si="35"/>
        <v>-52011231.760000005</v>
      </c>
      <c r="J169" s="117">
        <f>SUM(E169:I169)</f>
        <v>-52011231.760000005</v>
      </c>
      <c r="K169" s="117">
        <f>IF(D169=0,C169+J169,D169+J169)</f>
        <v>-7.4505805969238281E-9</v>
      </c>
      <c r="L169" s="117">
        <f t="shared" si="35"/>
        <v>16050000</v>
      </c>
      <c r="M169" s="118">
        <f t="shared" si="35"/>
        <v>24650000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5" t="s">
        <v>1705</v>
      </c>
      <c r="B172" s="121"/>
      <c r="C172" s="53"/>
      <c r="D172" s="53"/>
      <c r="E172" s="53"/>
      <c r="F172" s="53"/>
      <c r="G172" s="53"/>
      <c r="H172" s="53"/>
      <c r="I172" s="53"/>
      <c r="J172" s="53"/>
      <c r="K172" s="53"/>
      <c r="L172" s="53"/>
      <c r="M172" s="53"/>
      <c r="N172" s="128"/>
    </row>
    <row r="173" spans="1:14" ht="12.75" customHeight="1" x14ac:dyDescent="0.25">
      <c r="A173" s="1395" t="s">
        <v>992</v>
      </c>
      <c r="B173" s="1395"/>
      <c r="C173" s="1395"/>
      <c r="D173" s="1395"/>
      <c r="E173" s="1395"/>
      <c r="F173" s="1395"/>
      <c r="G173" s="1395"/>
      <c r="H173" s="1395"/>
      <c r="I173" s="1395"/>
      <c r="J173" s="1395"/>
      <c r="K173" s="1395"/>
      <c r="L173" s="1395"/>
      <c r="M173" s="1395"/>
      <c r="N173" s="128"/>
    </row>
    <row r="174" spans="1:14" ht="12.75" customHeight="1" x14ac:dyDescent="0.25">
      <c r="A174" s="1395" t="s">
        <v>998</v>
      </c>
      <c r="B174" s="1395"/>
      <c r="C174" s="1395"/>
      <c r="D174" s="1395"/>
      <c r="E174" s="1395"/>
      <c r="F174" s="1395"/>
      <c r="G174" s="1395"/>
      <c r="H174" s="1395"/>
      <c r="I174" s="1395"/>
      <c r="J174" s="1395"/>
      <c r="K174" s="832"/>
      <c r="L174" s="832"/>
      <c r="M174" s="832"/>
      <c r="N174" s="128"/>
    </row>
    <row r="175" spans="1:14" ht="12.75" customHeight="1" x14ac:dyDescent="0.25">
      <c r="A175" s="1395" t="s">
        <v>999</v>
      </c>
      <c r="B175" s="1395"/>
      <c r="C175" s="1395"/>
      <c r="D175" s="1395"/>
      <c r="E175" s="1395"/>
      <c r="F175" s="1395"/>
      <c r="G175" s="1395"/>
      <c r="H175" s="1395"/>
      <c r="I175" s="1395"/>
      <c r="J175" s="1395"/>
      <c r="K175" s="832"/>
      <c r="L175" s="832"/>
      <c r="M175" s="832"/>
      <c r="N175" s="128"/>
    </row>
    <row r="176" spans="1:14" ht="12.75" customHeight="1" x14ac:dyDescent="0.25">
      <c r="A176" s="1395" t="s">
        <v>1022</v>
      </c>
      <c r="B176" s="1395"/>
      <c r="C176" s="1395"/>
      <c r="D176" s="1395"/>
      <c r="E176" s="1395"/>
      <c r="F176" s="1395"/>
      <c r="G176" s="1395"/>
      <c r="H176" s="1395"/>
      <c r="I176" s="1395"/>
      <c r="J176" s="1395"/>
      <c r="K176" s="1395"/>
      <c r="L176" s="1395"/>
      <c r="M176" s="1395"/>
      <c r="N176" s="128"/>
    </row>
    <row r="177" spans="1:14" ht="12.75" customHeight="1" x14ac:dyDescent="0.25">
      <c r="A177" s="159" t="s">
        <v>1023</v>
      </c>
      <c r="B177" s="160"/>
      <c r="C177" s="94"/>
      <c r="D177" s="94"/>
      <c r="E177" s="94"/>
      <c r="F177" s="94"/>
      <c r="G177" s="94"/>
      <c r="H177" s="94"/>
      <c r="I177" s="94"/>
      <c r="J177" s="94"/>
      <c r="K177" s="94"/>
      <c r="L177" s="94"/>
      <c r="M177" s="94"/>
      <c r="N177" s="128"/>
    </row>
    <row r="178" spans="1:14" ht="12.75" customHeight="1" x14ac:dyDescent="0.25">
      <c r="A178" s="1395" t="s">
        <v>1024</v>
      </c>
      <c r="B178" s="1395"/>
      <c r="C178" s="1395"/>
      <c r="D178" s="1395"/>
      <c r="E178" s="1395"/>
      <c r="F178" s="1395"/>
      <c r="G178" s="1395"/>
      <c r="H178" s="1395"/>
      <c r="I178" s="1395"/>
      <c r="J178" s="1395"/>
      <c r="K178" s="1395"/>
      <c r="L178" s="1395"/>
      <c r="M178" s="1395"/>
      <c r="N178" s="128"/>
    </row>
    <row r="179" spans="1:14" ht="12.75" customHeight="1" x14ac:dyDescent="0.25">
      <c r="A179" s="159" t="s">
        <v>1025</v>
      </c>
      <c r="B179" s="160"/>
      <c r="C179" s="94"/>
      <c r="D179" s="94"/>
      <c r="E179" s="94"/>
      <c r="F179" s="94"/>
      <c r="G179" s="94"/>
      <c r="H179" s="94"/>
      <c r="I179" s="94"/>
      <c r="J179" s="94"/>
      <c r="K179" s="94"/>
      <c r="L179" s="94"/>
      <c r="M179" s="94"/>
      <c r="N179" s="128"/>
    </row>
    <row r="180" spans="1:14" ht="12.75" customHeight="1" x14ac:dyDescent="0.25">
      <c r="A180" s="1395" t="s">
        <v>1026</v>
      </c>
      <c r="B180" s="1395"/>
      <c r="C180" s="1395"/>
      <c r="D180" s="1395"/>
      <c r="E180" s="1395"/>
      <c r="F180" s="1395"/>
      <c r="G180" s="1395"/>
      <c r="H180" s="1395"/>
      <c r="I180" s="1395"/>
      <c r="J180" s="1395"/>
      <c r="K180" s="1395"/>
      <c r="L180" s="1395"/>
      <c r="M180" s="1395"/>
      <c r="N180" s="128"/>
    </row>
    <row r="181" spans="1:14" ht="11.25" customHeight="1" x14ac:dyDescent="0.25">
      <c r="A181" s="345"/>
      <c r="B181" s="793"/>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675</v>
      </c>
      <c r="B183" s="160"/>
      <c r="C183" s="795">
        <f>(C169+SB18a!C169+SB18e!C169)-'B5-Capex'!C65</f>
        <v>0</v>
      </c>
      <c r="D183" s="795"/>
      <c r="E183" s="795"/>
      <c r="F183" s="795"/>
      <c r="G183" s="795"/>
      <c r="H183" s="795"/>
      <c r="I183" s="795"/>
      <c r="J183" s="795"/>
      <c r="K183" s="795"/>
      <c r="L183" s="795">
        <f>(L169+SB18a!L169+SB18e!L169)-'B5-Capex'!L65</f>
        <v>0</v>
      </c>
      <c r="M183" s="795">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74" activePane="bottomRight" state="frozen"/>
      <selection activeCell="C6" sqref="C6"/>
      <selection pane="topRight" activeCell="C6" sqref="C6"/>
      <selection pane="bottomLeft" activeCell="C6" sqref="C6"/>
      <selection pane="bottomRight" activeCell="I171" sqref="I17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LIM333 Greater Tzaneen - Supporting Table SB18c Adjustments Budget - expenditure on repairs and maintenance by asset class - 27/02/2019</v>
      </c>
      <c r="B1" s="5"/>
      <c r="C1" s="58"/>
    </row>
    <row r="2" spans="1:14" ht="25.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53" t="s">
        <v>1204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772</v>
      </c>
      <c r="B8" s="73"/>
      <c r="C8" s="704">
        <f>C9+C14+C18+C28+C70+C39+C46+C54+C64</f>
        <v>46368926</v>
      </c>
      <c r="D8" s="704">
        <f t="shared" ref="D8:I8" si="0">D9+D14+D18+D28+D70+D39+D46+D54+D64</f>
        <v>0</v>
      </c>
      <c r="E8" s="704">
        <f t="shared" si="0"/>
        <v>0</v>
      </c>
      <c r="F8" s="704">
        <f t="shared" si="0"/>
        <v>0</v>
      </c>
      <c r="G8" s="704">
        <f t="shared" si="0"/>
        <v>0</v>
      </c>
      <c r="H8" s="704">
        <f t="shared" si="0"/>
        <v>0</v>
      </c>
      <c r="I8" s="704">
        <f t="shared" si="0"/>
        <v>5226572</v>
      </c>
      <c r="J8" s="705">
        <f>SUM(E8:I8)</f>
        <v>5226572</v>
      </c>
      <c r="K8" s="705">
        <f>IF(D8=0,C8+J8,D8+J8)</f>
        <v>51595498</v>
      </c>
      <c r="L8" s="704">
        <f>L9+L14+L18+L28+L70+L39+L46+L54+L64</f>
        <v>50192466.93</v>
      </c>
      <c r="M8" s="706">
        <f>M9+M14+M18+M28+M70+M39+M46+M54+M64</f>
        <v>52953052.861150004</v>
      </c>
      <c r="N8" s="847"/>
    </row>
    <row r="9" spans="1:14" ht="12.75" customHeight="1" x14ac:dyDescent="0.25">
      <c r="A9" s="595" t="s">
        <v>1591</v>
      </c>
      <c r="B9" s="73"/>
      <c r="C9" s="265">
        <f>SUM(C10:C13)</f>
        <v>15430715</v>
      </c>
      <c r="D9" s="265">
        <f t="shared" ref="D9:M9" si="1">SUM(D10:D13)</f>
        <v>0</v>
      </c>
      <c r="E9" s="265">
        <f t="shared" si="1"/>
        <v>0</v>
      </c>
      <c r="F9" s="265">
        <f t="shared" si="1"/>
        <v>0</v>
      </c>
      <c r="G9" s="265">
        <f t="shared" si="1"/>
        <v>0</v>
      </c>
      <c r="H9" s="265">
        <f t="shared" si="1"/>
        <v>0</v>
      </c>
      <c r="I9" s="265">
        <f t="shared" si="1"/>
        <v>849687</v>
      </c>
      <c r="J9" s="75">
        <f t="shared" ref="J9:J72" si="2">SUM(E9:I9)</f>
        <v>849687</v>
      </c>
      <c r="K9" s="75">
        <f t="shared" ref="K9:K72" si="3">IF(D9=0,C9+J9,D9+J9)</f>
        <v>16280402</v>
      </c>
      <c r="L9" s="265">
        <f t="shared" si="1"/>
        <v>16279404.325000001</v>
      </c>
      <c r="M9" s="266">
        <f t="shared" si="1"/>
        <v>17174771.562875003</v>
      </c>
      <c r="N9" s="128"/>
    </row>
    <row r="10" spans="1:14" ht="12.75" customHeight="1" x14ac:dyDescent="0.25">
      <c r="A10" s="596" t="s">
        <v>1008</v>
      </c>
      <c r="B10" s="73"/>
      <c r="C10" s="109">
        <v>15430715</v>
      </c>
      <c r="D10" s="109"/>
      <c r="E10" s="109"/>
      <c r="F10" s="109"/>
      <c r="G10" s="109"/>
      <c r="H10" s="109"/>
      <c r="I10" s="109">
        <v>849687</v>
      </c>
      <c r="J10" s="75">
        <f t="shared" si="2"/>
        <v>849687</v>
      </c>
      <c r="K10" s="75">
        <f t="shared" si="3"/>
        <v>16280402</v>
      </c>
      <c r="L10" s="109">
        <v>16279404.325000001</v>
      </c>
      <c r="M10" s="110">
        <v>17174771.562875003</v>
      </c>
      <c r="N10" s="847"/>
    </row>
    <row r="11" spans="1:14" ht="12.75" customHeight="1" x14ac:dyDescent="0.25">
      <c r="A11" s="596" t="s">
        <v>1592</v>
      </c>
      <c r="B11" s="73"/>
      <c r="C11" s="109"/>
      <c r="D11" s="109"/>
      <c r="E11" s="109"/>
      <c r="F11" s="109"/>
      <c r="G11" s="109"/>
      <c r="H11" s="109"/>
      <c r="I11" s="109"/>
      <c r="J11" s="75">
        <f t="shared" si="2"/>
        <v>0</v>
      </c>
      <c r="K11" s="75">
        <f t="shared" si="3"/>
        <v>0</v>
      </c>
      <c r="L11" s="109"/>
      <c r="M11" s="110"/>
      <c r="N11" s="852"/>
    </row>
    <row r="12" spans="1:14" ht="12.75" customHeight="1" x14ac:dyDescent="0.25">
      <c r="A12" s="596" t="s">
        <v>1593</v>
      </c>
      <c r="B12" s="73"/>
      <c r="C12" s="109"/>
      <c r="D12" s="109"/>
      <c r="E12" s="109"/>
      <c r="F12" s="109"/>
      <c r="G12" s="109"/>
      <c r="H12" s="109"/>
      <c r="I12" s="109"/>
      <c r="J12" s="75">
        <f t="shared" si="2"/>
        <v>0</v>
      </c>
      <c r="K12" s="75">
        <f t="shared" si="3"/>
        <v>0</v>
      </c>
      <c r="L12" s="109"/>
      <c r="M12" s="110"/>
      <c r="N12" s="847"/>
    </row>
    <row r="13" spans="1:14" ht="12.75" customHeight="1" x14ac:dyDescent="0.25">
      <c r="A13" s="596" t="s">
        <v>1594</v>
      </c>
      <c r="B13" s="73"/>
      <c r="C13" s="109"/>
      <c r="D13" s="109"/>
      <c r="E13" s="109"/>
      <c r="F13" s="109"/>
      <c r="G13" s="109"/>
      <c r="H13" s="109"/>
      <c r="I13" s="109"/>
      <c r="J13" s="75">
        <f t="shared" si="2"/>
        <v>0</v>
      </c>
      <c r="K13" s="75">
        <f t="shared" si="3"/>
        <v>0</v>
      </c>
      <c r="L13" s="109"/>
      <c r="M13" s="110"/>
      <c r="N13" s="852"/>
    </row>
    <row r="14" spans="1:14" ht="12.75" customHeight="1" x14ac:dyDescent="0.25">
      <c r="A14" s="595" t="s">
        <v>1595</v>
      </c>
      <c r="B14" s="73"/>
      <c r="C14" s="132">
        <f t="shared" ref="C14:I14" si="4">SUM(C15:C17)</f>
        <v>13313257</v>
      </c>
      <c r="D14" s="132">
        <f t="shared" si="4"/>
        <v>0</v>
      </c>
      <c r="E14" s="132">
        <f t="shared" si="4"/>
        <v>0</v>
      </c>
      <c r="F14" s="132">
        <f t="shared" si="4"/>
        <v>0</v>
      </c>
      <c r="G14" s="132">
        <f t="shared" si="4"/>
        <v>0</v>
      </c>
      <c r="H14" s="132">
        <f t="shared" si="4"/>
        <v>0</v>
      </c>
      <c r="I14" s="132">
        <f t="shared" si="4"/>
        <v>0</v>
      </c>
      <c r="J14" s="75">
        <f t="shared" si="2"/>
        <v>0</v>
      </c>
      <c r="K14" s="75">
        <f t="shared" si="3"/>
        <v>13313257</v>
      </c>
      <c r="L14" s="132">
        <f>SUM(L15:L17)</f>
        <v>14045486.135</v>
      </c>
      <c r="M14" s="133">
        <f>SUM(M15:M17)</f>
        <v>14817987.872424999</v>
      </c>
      <c r="N14" s="852"/>
    </row>
    <row r="15" spans="1:14" ht="12.75" customHeight="1" x14ac:dyDescent="0.25">
      <c r="A15" s="596" t="s">
        <v>1596</v>
      </c>
      <c r="B15" s="73"/>
      <c r="C15" s="109">
        <v>13313257</v>
      </c>
      <c r="D15" s="109"/>
      <c r="E15" s="109"/>
      <c r="F15" s="109"/>
      <c r="G15" s="109"/>
      <c r="H15" s="109"/>
      <c r="I15" s="109"/>
      <c r="J15" s="75">
        <f t="shared" si="2"/>
        <v>0</v>
      </c>
      <c r="K15" s="75">
        <f t="shared" si="3"/>
        <v>13313257</v>
      </c>
      <c r="L15" s="109">
        <v>14045486.135</v>
      </c>
      <c r="M15" s="110">
        <v>14817987.872424999</v>
      </c>
      <c r="N15" s="852"/>
    </row>
    <row r="16" spans="1:14" ht="12.75" customHeight="1" x14ac:dyDescent="0.25">
      <c r="A16" s="596" t="s">
        <v>1597</v>
      </c>
      <c r="B16" s="73"/>
      <c r="C16" s="109"/>
      <c r="D16" s="109"/>
      <c r="E16" s="109"/>
      <c r="F16" s="109"/>
      <c r="G16" s="109"/>
      <c r="H16" s="109"/>
      <c r="I16" s="109"/>
      <c r="J16" s="75">
        <f t="shared" si="2"/>
        <v>0</v>
      </c>
      <c r="K16" s="75">
        <f t="shared" si="3"/>
        <v>0</v>
      </c>
      <c r="L16" s="109"/>
      <c r="M16" s="110"/>
      <c r="N16" s="852"/>
    </row>
    <row r="17" spans="1:14" ht="12.75" customHeight="1" x14ac:dyDescent="0.25">
      <c r="A17" s="596" t="s">
        <v>1598</v>
      </c>
      <c r="B17" s="73"/>
      <c r="C17" s="109"/>
      <c r="D17" s="109"/>
      <c r="E17" s="109"/>
      <c r="F17" s="109"/>
      <c r="G17" s="109"/>
      <c r="H17" s="109"/>
      <c r="I17" s="109"/>
      <c r="J17" s="75">
        <f t="shared" si="2"/>
        <v>0</v>
      </c>
      <c r="K17" s="75">
        <f t="shared" si="3"/>
        <v>0</v>
      </c>
      <c r="L17" s="109"/>
      <c r="M17" s="110"/>
      <c r="N17" s="852"/>
    </row>
    <row r="18" spans="1:14" ht="12.75" customHeight="1" x14ac:dyDescent="0.25">
      <c r="A18" s="595" t="s">
        <v>1599</v>
      </c>
      <c r="B18" s="73"/>
      <c r="C18" s="132">
        <f t="shared" ref="C18:M18" si="5">SUM(C19:C27)</f>
        <v>17015054</v>
      </c>
      <c r="D18" s="132">
        <f t="shared" si="5"/>
        <v>0</v>
      </c>
      <c r="E18" s="132">
        <f t="shared" si="5"/>
        <v>0</v>
      </c>
      <c r="F18" s="132">
        <f t="shared" si="5"/>
        <v>0</v>
      </c>
      <c r="G18" s="132">
        <f t="shared" si="5"/>
        <v>0</v>
      </c>
      <c r="H18" s="132">
        <f t="shared" si="5"/>
        <v>0</v>
      </c>
      <c r="I18" s="132">
        <f t="shared" si="5"/>
        <v>4406872</v>
      </c>
      <c r="J18" s="75">
        <f t="shared" si="2"/>
        <v>4406872</v>
      </c>
      <c r="K18" s="75">
        <f t="shared" si="3"/>
        <v>21421926</v>
      </c>
      <c r="L18" s="132">
        <f t="shared" si="5"/>
        <v>19224131.969999999</v>
      </c>
      <c r="M18" s="133">
        <f t="shared" si="5"/>
        <v>20281459.478350002</v>
      </c>
      <c r="N18" s="852"/>
    </row>
    <row r="19" spans="1:14" ht="12.75" customHeight="1" x14ac:dyDescent="0.25">
      <c r="A19" s="596" t="s">
        <v>1600</v>
      </c>
      <c r="B19" s="73"/>
      <c r="C19" s="109"/>
      <c r="D19" s="109"/>
      <c r="E19" s="109"/>
      <c r="F19" s="109"/>
      <c r="G19" s="109"/>
      <c r="H19" s="109"/>
      <c r="I19" s="109"/>
      <c r="J19" s="75">
        <f t="shared" si="2"/>
        <v>0</v>
      </c>
      <c r="K19" s="75">
        <f t="shared" si="3"/>
        <v>0</v>
      </c>
      <c r="L19" s="109"/>
      <c r="M19" s="110"/>
      <c r="N19" s="852"/>
    </row>
    <row r="20" spans="1:14" ht="12.4" customHeight="1" x14ac:dyDescent="0.25">
      <c r="A20" s="596" t="s">
        <v>1601</v>
      </c>
      <c r="B20" s="73"/>
      <c r="C20" s="109"/>
      <c r="D20" s="109"/>
      <c r="E20" s="109"/>
      <c r="F20" s="109"/>
      <c r="G20" s="109"/>
      <c r="H20" s="109"/>
      <c r="I20" s="109"/>
      <c r="J20" s="75">
        <f t="shared" si="2"/>
        <v>0</v>
      </c>
      <c r="K20" s="75">
        <f t="shared" si="3"/>
        <v>0</v>
      </c>
      <c r="L20" s="109"/>
      <c r="M20" s="110"/>
      <c r="N20" s="852"/>
    </row>
    <row r="21" spans="1:14" ht="12.75" customHeight="1" x14ac:dyDescent="0.25">
      <c r="A21" s="596" t="s">
        <v>1602</v>
      </c>
      <c r="B21" s="73"/>
      <c r="C21" s="109"/>
      <c r="D21" s="109"/>
      <c r="E21" s="109"/>
      <c r="F21" s="109"/>
      <c r="G21" s="109"/>
      <c r="H21" s="109"/>
      <c r="I21" s="109"/>
      <c r="J21" s="75">
        <f t="shared" si="2"/>
        <v>0</v>
      </c>
      <c r="K21" s="75">
        <f t="shared" si="3"/>
        <v>0</v>
      </c>
      <c r="L21" s="109"/>
      <c r="M21" s="110"/>
      <c r="N21" s="852"/>
    </row>
    <row r="22" spans="1:14" ht="12.75" customHeight="1" x14ac:dyDescent="0.25">
      <c r="A22" s="596" t="s">
        <v>1603</v>
      </c>
      <c r="B22" s="73"/>
      <c r="C22" s="109"/>
      <c r="D22" s="109"/>
      <c r="E22" s="109"/>
      <c r="F22" s="109"/>
      <c r="G22" s="109"/>
      <c r="H22" s="109"/>
      <c r="I22" s="109"/>
      <c r="J22" s="75">
        <f t="shared" si="2"/>
        <v>0</v>
      </c>
      <c r="K22" s="75">
        <f t="shared" si="3"/>
        <v>0</v>
      </c>
      <c r="L22" s="109"/>
      <c r="M22" s="110"/>
      <c r="N22" s="847"/>
    </row>
    <row r="23" spans="1:14" ht="12.75" customHeight="1" x14ac:dyDescent="0.25">
      <c r="A23" s="596" t="s">
        <v>1604</v>
      </c>
      <c r="B23" s="73"/>
      <c r="C23" s="109"/>
      <c r="D23" s="109"/>
      <c r="E23" s="109"/>
      <c r="F23" s="109"/>
      <c r="G23" s="109"/>
      <c r="H23" s="109"/>
      <c r="I23" s="109"/>
      <c r="J23" s="75">
        <f t="shared" si="2"/>
        <v>0</v>
      </c>
      <c r="K23" s="75">
        <f t="shared" si="3"/>
        <v>0</v>
      </c>
      <c r="L23" s="109"/>
      <c r="M23" s="110"/>
      <c r="N23" s="852"/>
    </row>
    <row r="24" spans="1:14" ht="12.75" customHeight="1" x14ac:dyDescent="0.25">
      <c r="A24" s="596" t="s">
        <v>1605</v>
      </c>
      <c r="B24" s="73"/>
      <c r="C24" s="109"/>
      <c r="D24" s="109"/>
      <c r="E24" s="109"/>
      <c r="F24" s="109"/>
      <c r="G24" s="109"/>
      <c r="H24" s="109"/>
      <c r="I24" s="109"/>
      <c r="J24" s="75">
        <f t="shared" si="2"/>
        <v>0</v>
      </c>
      <c r="K24" s="75">
        <f t="shared" si="3"/>
        <v>0</v>
      </c>
      <c r="L24" s="109"/>
      <c r="M24" s="110"/>
      <c r="N24" s="847"/>
    </row>
    <row r="25" spans="1:14" ht="12.75" customHeight="1" x14ac:dyDescent="0.25">
      <c r="A25" s="596" t="s">
        <v>1606</v>
      </c>
      <c r="B25" s="73"/>
      <c r="C25" s="109">
        <v>14511305</v>
      </c>
      <c r="D25" s="109"/>
      <c r="E25" s="109"/>
      <c r="F25" s="109"/>
      <c r="G25" s="109"/>
      <c r="H25" s="109"/>
      <c r="I25" s="109">
        <f>3000000+200000+1206872</f>
        <v>4406872</v>
      </c>
      <c r="J25" s="75">
        <f t="shared" si="2"/>
        <v>4406872</v>
      </c>
      <c r="K25" s="75">
        <f t="shared" si="3"/>
        <v>18918177</v>
      </c>
      <c r="L25" s="109">
        <f>15309426.775+1273250</f>
        <v>16582676.775</v>
      </c>
      <c r="M25" s="110">
        <f>16151445.247625+1343279</f>
        <v>17494724.247625001</v>
      </c>
      <c r="N25" s="852"/>
    </row>
    <row r="26" spans="1:14" ht="12.75" customHeight="1" x14ac:dyDescent="0.25">
      <c r="A26" s="596" t="s">
        <v>1607</v>
      </c>
      <c r="B26" s="73"/>
      <c r="C26" s="109">
        <v>1027984</v>
      </c>
      <c r="D26" s="109"/>
      <c r="E26" s="109"/>
      <c r="F26" s="109"/>
      <c r="G26" s="109"/>
      <c r="H26" s="109"/>
      <c r="I26" s="109"/>
      <c r="J26" s="75">
        <f t="shared" si="2"/>
        <v>0</v>
      </c>
      <c r="K26" s="75">
        <f t="shared" si="3"/>
        <v>1027984</v>
      </c>
      <c r="L26" s="109">
        <v>1084523.1200000001</v>
      </c>
      <c r="M26" s="110">
        <v>1144171.8916</v>
      </c>
      <c r="N26" s="847"/>
    </row>
    <row r="27" spans="1:14" ht="12.75" customHeight="1" x14ac:dyDescent="0.25">
      <c r="A27" s="596" t="s">
        <v>1594</v>
      </c>
      <c r="B27" s="73"/>
      <c r="C27" s="109">
        <v>1475765</v>
      </c>
      <c r="D27" s="109"/>
      <c r="E27" s="109"/>
      <c r="F27" s="109"/>
      <c r="G27" s="109"/>
      <c r="H27" s="109"/>
      <c r="I27" s="109"/>
      <c r="J27" s="75">
        <f t="shared" si="2"/>
        <v>0</v>
      </c>
      <c r="K27" s="75">
        <f t="shared" si="3"/>
        <v>1475765</v>
      </c>
      <c r="L27" s="109">
        <v>1556932.075</v>
      </c>
      <c r="M27" s="110">
        <v>1642563.3391249999</v>
      </c>
      <c r="N27" s="852"/>
    </row>
    <row r="28" spans="1:14" ht="12.75" customHeight="1" x14ac:dyDescent="0.25">
      <c r="A28" s="597" t="s">
        <v>1608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2"/>
    </row>
    <row r="29" spans="1:14" ht="12.75" customHeight="1" x14ac:dyDescent="0.25">
      <c r="A29" s="596" t="s">
        <v>1609</v>
      </c>
      <c r="B29" s="73"/>
      <c r="C29" s="109"/>
      <c r="D29" s="109"/>
      <c r="E29" s="109"/>
      <c r="F29" s="109"/>
      <c r="G29" s="109"/>
      <c r="H29" s="109"/>
      <c r="I29" s="109"/>
      <c r="J29" s="75">
        <f t="shared" si="2"/>
        <v>0</v>
      </c>
      <c r="K29" s="75">
        <f t="shared" si="3"/>
        <v>0</v>
      </c>
      <c r="L29" s="109"/>
      <c r="M29" s="110"/>
      <c r="N29" s="852"/>
    </row>
    <row r="30" spans="1:14" ht="12.4" customHeight="1" x14ac:dyDescent="0.25">
      <c r="A30" s="596" t="s">
        <v>1610</v>
      </c>
      <c r="B30" s="73"/>
      <c r="C30" s="109"/>
      <c r="D30" s="109"/>
      <c r="E30" s="109"/>
      <c r="F30" s="109"/>
      <c r="G30" s="109"/>
      <c r="H30" s="109"/>
      <c r="I30" s="109"/>
      <c r="J30" s="75">
        <f t="shared" si="2"/>
        <v>0</v>
      </c>
      <c r="K30" s="75">
        <f t="shared" si="3"/>
        <v>0</v>
      </c>
      <c r="L30" s="109"/>
      <c r="M30" s="110"/>
      <c r="N30" s="852"/>
    </row>
    <row r="31" spans="1:14" ht="12.75" customHeight="1" x14ac:dyDescent="0.25">
      <c r="A31" s="596" t="s">
        <v>1611</v>
      </c>
      <c r="B31" s="73"/>
      <c r="C31" s="109"/>
      <c r="D31" s="109"/>
      <c r="E31" s="109"/>
      <c r="F31" s="109"/>
      <c r="G31" s="109"/>
      <c r="H31" s="109"/>
      <c r="I31" s="109"/>
      <c r="J31" s="75">
        <f t="shared" si="2"/>
        <v>0</v>
      </c>
      <c r="K31" s="75">
        <f t="shared" si="3"/>
        <v>0</v>
      </c>
      <c r="L31" s="109"/>
      <c r="M31" s="110"/>
      <c r="N31" s="852"/>
    </row>
    <row r="32" spans="1:14" ht="12.75" customHeight="1" x14ac:dyDescent="0.25">
      <c r="A32" s="596" t="s">
        <v>1612</v>
      </c>
      <c r="B32" s="73"/>
      <c r="C32" s="109"/>
      <c r="D32" s="109"/>
      <c r="E32" s="109"/>
      <c r="F32" s="109"/>
      <c r="G32" s="109"/>
      <c r="H32" s="109"/>
      <c r="I32" s="109"/>
      <c r="J32" s="75">
        <f t="shared" si="2"/>
        <v>0</v>
      </c>
      <c r="K32" s="75">
        <f t="shared" si="3"/>
        <v>0</v>
      </c>
      <c r="L32" s="109"/>
      <c r="M32" s="110"/>
      <c r="N32" s="847"/>
    </row>
    <row r="33" spans="1:14" ht="12.75" customHeight="1" x14ac:dyDescent="0.25">
      <c r="A33" s="596" t="s">
        <v>1613</v>
      </c>
      <c r="B33" s="73"/>
      <c r="C33" s="109"/>
      <c r="D33" s="109"/>
      <c r="E33" s="109"/>
      <c r="F33" s="109"/>
      <c r="G33" s="109"/>
      <c r="H33" s="109"/>
      <c r="I33" s="109"/>
      <c r="J33" s="75">
        <f t="shared" si="2"/>
        <v>0</v>
      </c>
      <c r="K33" s="75">
        <f t="shared" si="3"/>
        <v>0</v>
      </c>
      <c r="L33" s="109"/>
      <c r="M33" s="110"/>
      <c r="N33" s="852"/>
    </row>
    <row r="34" spans="1:14" ht="12.75" customHeight="1" x14ac:dyDescent="0.25">
      <c r="A34" s="596" t="s">
        <v>1614</v>
      </c>
      <c r="B34" s="73"/>
      <c r="C34" s="109"/>
      <c r="D34" s="109"/>
      <c r="E34" s="109"/>
      <c r="F34" s="109"/>
      <c r="G34" s="109"/>
      <c r="H34" s="109"/>
      <c r="I34" s="109"/>
      <c r="J34" s="75">
        <f t="shared" si="2"/>
        <v>0</v>
      </c>
      <c r="K34" s="75">
        <f t="shared" si="3"/>
        <v>0</v>
      </c>
      <c r="L34" s="109"/>
      <c r="M34" s="110"/>
      <c r="N34" s="847"/>
    </row>
    <row r="35" spans="1:14" ht="12.75" customHeight="1" x14ac:dyDescent="0.25">
      <c r="A35" s="596" t="s">
        <v>1615</v>
      </c>
      <c r="B35" s="73"/>
      <c r="C35" s="109"/>
      <c r="D35" s="109"/>
      <c r="E35" s="109"/>
      <c r="F35" s="109"/>
      <c r="G35" s="109"/>
      <c r="H35" s="109"/>
      <c r="I35" s="109"/>
      <c r="J35" s="75">
        <f t="shared" si="2"/>
        <v>0</v>
      </c>
      <c r="K35" s="75">
        <f t="shared" si="3"/>
        <v>0</v>
      </c>
      <c r="L35" s="109"/>
      <c r="M35" s="110"/>
      <c r="N35" s="852"/>
    </row>
    <row r="36" spans="1:14" ht="12.75" customHeight="1" x14ac:dyDescent="0.25">
      <c r="A36" s="596" t="s">
        <v>1616</v>
      </c>
      <c r="B36" s="73"/>
      <c r="C36" s="109"/>
      <c r="D36" s="109"/>
      <c r="E36" s="109"/>
      <c r="F36" s="109"/>
      <c r="G36" s="109"/>
      <c r="H36" s="109"/>
      <c r="I36" s="109"/>
      <c r="J36" s="75">
        <f t="shared" si="2"/>
        <v>0</v>
      </c>
      <c r="K36" s="75">
        <f t="shared" si="3"/>
        <v>0</v>
      </c>
      <c r="L36" s="109"/>
      <c r="M36" s="110"/>
      <c r="N36" s="847"/>
    </row>
    <row r="37" spans="1:14" ht="12.75" customHeight="1" x14ac:dyDescent="0.25">
      <c r="A37" s="596" t="s">
        <v>1617</v>
      </c>
      <c r="B37" s="73"/>
      <c r="C37" s="109"/>
      <c r="D37" s="109"/>
      <c r="E37" s="109"/>
      <c r="F37" s="109"/>
      <c r="G37" s="109"/>
      <c r="H37" s="109"/>
      <c r="I37" s="109"/>
      <c r="J37" s="75">
        <f t="shared" si="2"/>
        <v>0</v>
      </c>
      <c r="K37" s="75">
        <f t="shared" si="3"/>
        <v>0</v>
      </c>
      <c r="L37" s="109"/>
      <c r="M37" s="110"/>
      <c r="N37" s="852"/>
    </row>
    <row r="38" spans="1:14" ht="12.75" customHeight="1" x14ac:dyDescent="0.25">
      <c r="A38" s="596" t="s">
        <v>1594</v>
      </c>
      <c r="B38" s="73"/>
      <c r="C38" s="109"/>
      <c r="D38" s="109"/>
      <c r="E38" s="109"/>
      <c r="F38" s="109"/>
      <c r="G38" s="109"/>
      <c r="H38" s="109"/>
      <c r="I38" s="109"/>
      <c r="J38" s="75">
        <f t="shared" si="2"/>
        <v>0</v>
      </c>
      <c r="K38" s="75">
        <f t="shared" si="3"/>
        <v>0</v>
      </c>
      <c r="L38" s="109"/>
      <c r="M38" s="110"/>
      <c r="N38" s="852"/>
    </row>
    <row r="39" spans="1:14" ht="12.75" customHeight="1" x14ac:dyDescent="0.25">
      <c r="A39" s="597" t="s">
        <v>1618</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1619</v>
      </c>
      <c r="B40" s="73"/>
      <c r="C40" s="109"/>
      <c r="D40" s="109"/>
      <c r="E40" s="109"/>
      <c r="F40" s="109"/>
      <c r="G40" s="109"/>
      <c r="H40" s="109"/>
      <c r="I40" s="109"/>
      <c r="J40" s="75">
        <f t="shared" si="2"/>
        <v>0</v>
      </c>
      <c r="K40" s="75">
        <f t="shared" si="3"/>
        <v>0</v>
      </c>
      <c r="L40" s="109"/>
      <c r="M40" s="110"/>
      <c r="N40" s="847"/>
    </row>
    <row r="41" spans="1:14" ht="12.75" customHeight="1" x14ac:dyDescent="0.25">
      <c r="A41" s="596" t="s">
        <v>484</v>
      </c>
      <c r="B41" s="73"/>
      <c r="C41" s="109"/>
      <c r="D41" s="109"/>
      <c r="E41" s="109"/>
      <c r="F41" s="109"/>
      <c r="G41" s="109"/>
      <c r="H41" s="109"/>
      <c r="I41" s="109"/>
      <c r="J41" s="75">
        <f t="shared" si="2"/>
        <v>0</v>
      </c>
      <c r="K41" s="75">
        <f t="shared" si="3"/>
        <v>0</v>
      </c>
      <c r="L41" s="109"/>
      <c r="M41" s="110"/>
      <c r="N41" s="847"/>
    </row>
    <row r="42" spans="1:14" ht="12.75" customHeight="1" x14ac:dyDescent="0.25">
      <c r="A42" s="596" t="s">
        <v>1620</v>
      </c>
      <c r="B42" s="73"/>
      <c r="C42" s="109"/>
      <c r="D42" s="109"/>
      <c r="E42" s="109"/>
      <c r="F42" s="109"/>
      <c r="G42" s="109"/>
      <c r="H42" s="109"/>
      <c r="I42" s="109"/>
      <c r="J42" s="75">
        <f t="shared" si="2"/>
        <v>0</v>
      </c>
      <c r="K42" s="75">
        <f t="shared" si="3"/>
        <v>0</v>
      </c>
      <c r="L42" s="109"/>
      <c r="M42" s="110"/>
      <c r="N42" s="852"/>
    </row>
    <row r="43" spans="1:14" ht="12.75" customHeight="1" x14ac:dyDescent="0.25">
      <c r="A43" s="596" t="s">
        <v>1621</v>
      </c>
      <c r="B43" s="73"/>
      <c r="C43" s="109"/>
      <c r="D43" s="109"/>
      <c r="E43" s="109"/>
      <c r="F43" s="109"/>
      <c r="G43" s="109"/>
      <c r="H43" s="109"/>
      <c r="I43" s="109"/>
      <c r="J43" s="75">
        <f t="shared" si="2"/>
        <v>0</v>
      </c>
      <c r="K43" s="75">
        <f t="shared" si="3"/>
        <v>0</v>
      </c>
      <c r="L43" s="109"/>
      <c r="M43" s="110"/>
      <c r="N43" s="852"/>
    </row>
    <row r="44" spans="1:14" ht="12.75" customHeight="1" x14ac:dyDescent="0.25">
      <c r="A44" s="596" t="s">
        <v>1622</v>
      </c>
      <c r="B44" s="73"/>
      <c r="C44" s="109"/>
      <c r="D44" s="109"/>
      <c r="E44" s="109"/>
      <c r="F44" s="109"/>
      <c r="G44" s="109"/>
      <c r="H44" s="109"/>
      <c r="I44" s="109"/>
      <c r="J44" s="75">
        <f t="shared" si="2"/>
        <v>0</v>
      </c>
      <c r="K44" s="75">
        <f t="shared" si="3"/>
        <v>0</v>
      </c>
      <c r="L44" s="109"/>
      <c r="M44" s="110"/>
      <c r="N44" s="847"/>
    </row>
    <row r="45" spans="1:14" ht="12.75" customHeight="1" x14ac:dyDescent="0.25">
      <c r="A45" s="596" t="s">
        <v>1594</v>
      </c>
      <c r="B45" s="73"/>
      <c r="C45" s="109"/>
      <c r="D45" s="109"/>
      <c r="E45" s="109"/>
      <c r="F45" s="109"/>
      <c r="G45" s="109"/>
      <c r="H45" s="109"/>
      <c r="I45" s="109"/>
      <c r="J45" s="75">
        <f t="shared" si="2"/>
        <v>0</v>
      </c>
      <c r="K45" s="75">
        <f t="shared" si="3"/>
        <v>0</v>
      </c>
      <c r="L45" s="109"/>
      <c r="M45" s="110"/>
      <c r="N45" s="852"/>
    </row>
    <row r="46" spans="1:14" ht="12.75" customHeight="1" x14ac:dyDescent="0.25">
      <c r="A46" s="597" t="s">
        <v>1623</v>
      </c>
      <c r="B46" s="73"/>
      <c r="C46" s="1135">
        <f>SUM(C47:C53)</f>
        <v>54900</v>
      </c>
      <c r="D46" s="132">
        <f t="shared" ref="D46:M46" si="8">SUM(D47:D53)</f>
        <v>0</v>
      </c>
      <c r="E46" s="132">
        <f t="shared" si="8"/>
        <v>0</v>
      </c>
      <c r="F46" s="132">
        <f t="shared" si="8"/>
        <v>0</v>
      </c>
      <c r="G46" s="132">
        <f t="shared" si="8"/>
        <v>0</v>
      </c>
      <c r="H46" s="132">
        <f t="shared" si="8"/>
        <v>0</v>
      </c>
      <c r="I46" s="132">
        <f t="shared" si="8"/>
        <v>0</v>
      </c>
      <c r="J46" s="75">
        <f t="shared" si="2"/>
        <v>0</v>
      </c>
      <c r="K46" s="75">
        <f t="shared" si="3"/>
        <v>54900</v>
      </c>
      <c r="L46" s="132">
        <f t="shared" si="8"/>
        <v>57919.5</v>
      </c>
      <c r="M46" s="133">
        <f t="shared" si="8"/>
        <v>61105.072500000002</v>
      </c>
      <c r="N46" s="128"/>
    </row>
    <row r="47" spans="1:14" ht="12.75" customHeight="1" x14ac:dyDescent="0.25">
      <c r="A47" s="596" t="s">
        <v>1624</v>
      </c>
      <c r="B47" s="73"/>
      <c r="C47" s="389">
        <v>54900</v>
      </c>
      <c r="D47" s="109"/>
      <c r="E47" s="109"/>
      <c r="F47" s="109"/>
      <c r="G47" s="109"/>
      <c r="H47" s="109"/>
      <c r="I47" s="109"/>
      <c r="J47" s="75">
        <f t="shared" si="2"/>
        <v>0</v>
      </c>
      <c r="K47" s="75">
        <f t="shared" si="3"/>
        <v>54900</v>
      </c>
      <c r="L47" s="109">
        <v>57919.5</v>
      </c>
      <c r="M47" s="110">
        <v>61105.072500000002</v>
      </c>
      <c r="N47" s="847"/>
    </row>
    <row r="48" spans="1:14" ht="12.75" customHeight="1" x14ac:dyDescent="0.25">
      <c r="A48" s="596" t="s">
        <v>1625</v>
      </c>
      <c r="B48" s="73"/>
      <c r="C48" s="109"/>
      <c r="D48" s="109"/>
      <c r="E48" s="109"/>
      <c r="F48" s="109"/>
      <c r="G48" s="109"/>
      <c r="H48" s="109"/>
      <c r="I48" s="109"/>
      <c r="J48" s="75">
        <f t="shared" si="2"/>
        <v>0</v>
      </c>
      <c r="K48" s="75">
        <f t="shared" si="3"/>
        <v>0</v>
      </c>
      <c r="L48" s="109"/>
      <c r="M48" s="110"/>
      <c r="N48" s="847"/>
    </row>
    <row r="49" spans="1:14" ht="12.75" customHeight="1" x14ac:dyDescent="0.25">
      <c r="A49" s="596" t="s">
        <v>1626</v>
      </c>
      <c r="B49" s="73"/>
      <c r="C49" s="109"/>
      <c r="D49" s="109"/>
      <c r="E49" s="109"/>
      <c r="F49" s="109"/>
      <c r="G49" s="109"/>
      <c r="H49" s="109"/>
      <c r="I49" s="109"/>
      <c r="J49" s="75">
        <f t="shared" si="2"/>
        <v>0</v>
      </c>
      <c r="K49" s="75">
        <f t="shared" si="3"/>
        <v>0</v>
      </c>
      <c r="L49" s="109"/>
      <c r="M49" s="110"/>
      <c r="N49" s="852"/>
    </row>
    <row r="50" spans="1:14" ht="12.75" customHeight="1" x14ac:dyDescent="0.25">
      <c r="A50" s="596" t="s">
        <v>1627</v>
      </c>
      <c r="B50" s="73"/>
      <c r="C50" s="109"/>
      <c r="D50" s="109"/>
      <c r="E50" s="109"/>
      <c r="F50" s="109"/>
      <c r="G50" s="109"/>
      <c r="H50" s="109"/>
      <c r="I50" s="109"/>
      <c r="J50" s="75">
        <f t="shared" si="2"/>
        <v>0</v>
      </c>
      <c r="K50" s="75">
        <f t="shared" si="3"/>
        <v>0</v>
      </c>
      <c r="L50" s="109"/>
      <c r="M50" s="110"/>
      <c r="N50" s="852"/>
    </row>
    <row r="51" spans="1:14" ht="12.75" customHeight="1" x14ac:dyDescent="0.25">
      <c r="A51" s="596" t="s">
        <v>1628</v>
      </c>
      <c r="B51" s="73"/>
      <c r="C51" s="109"/>
      <c r="D51" s="109"/>
      <c r="E51" s="109"/>
      <c r="F51" s="109"/>
      <c r="G51" s="109"/>
      <c r="H51" s="109"/>
      <c r="I51" s="109"/>
      <c r="J51" s="75">
        <f t="shared" si="2"/>
        <v>0</v>
      </c>
      <c r="K51" s="75">
        <f t="shared" si="3"/>
        <v>0</v>
      </c>
      <c r="L51" s="109"/>
      <c r="M51" s="110"/>
      <c r="N51" s="852"/>
    </row>
    <row r="52" spans="1:14" ht="12.75" customHeight="1" x14ac:dyDescent="0.25">
      <c r="A52" s="596" t="s">
        <v>1629</v>
      </c>
      <c r="B52" s="73"/>
      <c r="C52" s="109"/>
      <c r="D52" s="109"/>
      <c r="E52" s="109"/>
      <c r="F52" s="109"/>
      <c r="G52" s="109"/>
      <c r="H52" s="109"/>
      <c r="I52" s="109"/>
      <c r="J52" s="75">
        <f t="shared" si="2"/>
        <v>0</v>
      </c>
      <c r="K52" s="75">
        <f t="shared" si="3"/>
        <v>0</v>
      </c>
      <c r="L52" s="109"/>
      <c r="M52" s="110"/>
      <c r="N52" s="847"/>
    </row>
    <row r="53" spans="1:14" ht="12.75" customHeight="1" x14ac:dyDescent="0.25">
      <c r="A53" s="596" t="s">
        <v>1594</v>
      </c>
      <c r="B53" s="73"/>
      <c r="C53" s="109"/>
      <c r="D53" s="109"/>
      <c r="E53" s="109"/>
      <c r="F53" s="109"/>
      <c r="G53" s="109"/>
      <c r="H53" s="109"/>
      <c r="I53" s="109"/>
      <c r="J53" s="75">
        <f t="shared" si="2"/>
        <v>0</v>
      </c>
      <c r="K53" s="75">
        <f t="shared" si="3"/>
        <v>0</v>
      </c>
      <c r="L53" s="109"/>
      <c r="M53" s="110"/>
      <c r="N53" s="852"/>
    </row>
    <row r="54" spans="1:14" ht="12.75" customHeight="1" x14ac:dyDescent="0.25">
      <c r="A54" s="595" t="s">
        <v>1630</v>
      </c>
      <c r="B54" s="73"/>
      <c r="C54" s="1135">
        <f>SUM(C55:C63)</f>
        <v>555000</v>
      </c>
      <c r="D54" s="132">
        <f t="shared" ref="D54:M54" si="9">SUM(D55:D63)</f>
        <v>0</v>
      </c>
      <c r="E54" s="132">
        <f t="shared" si="9"/>
        <v>0</v>
      </c>
      <c r="F54" s="132">
        <f t="shared" si="9"/>
        <v>0</v>
      </c>
      <c r="G54" s="132">
        <f t="shared" si="9"/>
        <v>0</v>
      </c>
      <c r="H54" s="132">
        <f t="shared" si="9"/>
        <v>0</v>
      </c>
      <c r="I54" s="132">
        <f t="shared" si="9"/>
        <v>-29987</v>
      </c>
      <c r="J54" s="75">
        <f t="shared" si="2"/>
        <v>-29987</v>
      </c>
      <c r="K54" s="75">
        <f t="shared" si="3"/>
        <v>525013</v>
      </c>
      <c r="L54" s="132">
        <f t="shared" si="9"/>
        <v>585525</v>
      </c>
      <c r="M54" s="133">
        <f t="shared" si="9"/>
        <v>617728.875</v>
      </c>
      <c r="N54" s="128"/>
    </row>
    <row r="55" spans="1:14" ht="12.75" customHeight="1" x14ac:dyDescent="0.25">
      <c r="A55" s="596" t="s">
        <v>1631</v>
      </c>
      <c r="B55" s="73"/>
      <c r="C55" s="109"/>
      <c r="D55" s="109"/>
      <c r="E55" s="109"/>
      <c r="F55" s="109"/>
      <c r="G55" s="109"/>
      <c r="H55" s="109"/>
      <c r="I55" s="109"/>
      <c r="J55" s="75">
        <f t="shared" si="2"/>
        <v>0</v>
      </c>
      <c r="K55" s="75">
        <f t="shared" si="3"/>
        <v>0</v>
      </c>
      <c r="L55" s="109"/>
      <c r="M55" s="110"/>
      <c r="N55" s="847"/>
    </row>
    <row r="56" spans="1:14" ht="12.75" customHeight="1" x14ac:dyDescent="0.25">
      <c r="A56" s="596" t="s">
        <v>1632</v>
      </c>
      <c r="B56" s="73"/>
      <c r="C56" s="109">
        <v>555000</v>
      </c>
      <c r="D56" s="109"/>
      <c r="E56" s="109"/>
      <c r="F56" s="109"/>
      <c r="G56" s="109"/>
      <c r="H56" s="109"/>
      <c r="I56" s="109">
        <v>-29987</v>
      </c>
      <c r="J56" s="75">
        <f t="shared" si="2"/>
        <v>-29987</v>
      </c>
      <c r="K56" s="75">
        <f t="shared" si="3"/>
        <v>525013</v>
      </c>
      <c r="L56" s="109">
        <v>585525</v>
      </c>
      <c r="M56" s="110">
        <v>617728.875</v>
      </c>
      <c r="N56" s="847"/>
    </row>
    <row r="57" spans="1:14" ht="12.75" customHeight="1" x14ac:dyDescent="0.25">
      <c r="A57" s="596" t="s">
        <v>1633</v>
      </c>
      <c r="B57" s="73"/>
      <c r="C57" s="109"/>
      <c r="D57" s="109"/>
      <c r="E57" s="109"/>
      <c r="F57" s="109"/>
      <c r="G57" s="109"/>
      <c r="H57" s="109"/>
      <c r="I57" s="109"/>
      <c r="J57" s="75">
        <f t="shared" si="2"/>
        <v>0</v>
      </c>
      <c r="K57" s="75">
        <f t="shared" si="3"/>
        <v>0</v>
      </c>
      <c r="L57" s="109"/>
      <c r="M57" s="110"/>
      <c r="N57" s="852"/>
    </row>
    <row r="58" spans="1:14" ht="12.75" customHeight="1" x14ac:dyDescent="0.25">
      <c r="A58" s="596" t="s">
        <v>1596</v>
      </c>
      <c r="B58" s="73"/>
      <c r="C58" s="109"/>
      <c r="D58" s="109"/>
      <c r="E58" s="109"/>
      <c r="F58" s="109"/>
      <c r="G58" s="109"/>
      <c r="H58" s="109"/>
      <c r="I58" s="109"/>
      <c r="J58" s="75">
        <f t="shared" si="2"/>
        <v>0</v>
      </c>
      <c r="K58" s="75">
        <f t="shared" si="3"/>
        <v>0</v>
      </c>
      <c r="L58" s="109"/>
      <c r="M58" s="110"/>
      <c r="N58" s="852"/>
    </row>
    <row r="59" spans="1:14" ht="12.75" customHeight="1" x14ac:dyDescent="0.25">
      <c r="A59" s="596" t="s">
        <v>1597</v>
      </c>
      <c r="B59" s="73"/>
      <c r="C59" s="109"/>
      <c r="D59" s="109"/>
      <c r="E59" s="109"/>
      <c r="F59" s="109"/>
      <c r="G59" s="109"/>
      <c r="H59" s="109"/>
      <c r="I59" s="109"/>
      <c r="J59" s="75">
        <f t="shared" si="2"/>
        <v>0</v>
      </c>
      <c r="K59" s="75">
        <f t="shared" si="3"/>
        <v>0</v>
      </c>
      <c r="L59" s="109"/>
      <c r="M59" s="110"/>
      <c r="N59" s="852"/>
    </row>
    <row r="60" spans="1:14" ht="12.75" customHeight="1" x14ac:dyDescent="0.25">
      <c r="A60" s="596" t="s">
        <v>1598</v>
      </c>
      <c r="B60" s="73"/>
      <c r="C60" s="109"/>
      <c r="D60" s="109"/>
      <c r="E60" s="109"/>
      <c r="F60" s="109"/>
      <c r="G60" s="109"/>
      <c r="H60" s="109"/>
      <c r="I60" s="109"/>
      <c r="J60" s="75">
        <f t="shared" si="2"/>
        <v>0</v>
      </c>
      <c r="K60" s="75">
        <f t="shared" si="3"/>
        <v>0</v>
      </c>
      <c r="L60" s="109"/>
      <c r="M60" s="110"/>
      <c r="N60" s="852"/>
    </row>
    <row r="61" spans="1:14" ht="12.75" customHeight="1" x14ac:dyDescent="0.25">
      <c r="A61" s="596" t="s">
        <v>1604</v>
      </c>
      <c r="B61" s="73"/>
      <c r="C61" s="109"/>
      <c r="D61" s="109"/>
      <c r="E61" s="109"/>
      <c r="F61" s="109"/>
      <c r="G61" s="109"/>
      <c r="H61" s="109"/>
      <c r="I61" s="109"/>
      <c r="J61" s="75">
        <f t="shared" si="2"/>
        <v>0</v>
      </c>
      <c r="K61" s="75">
        <f t="shared" si="3"/>
        <v>0</v>
      </c>
      <c r="L61" s="109"/>
      <c r="M61" s="110"/>
      <c r="N61" s="852"/>
    </row>
    <row r="62" spans="1:14" ht="12.75" customHeight="1" x14ac:dyDescent="0.25">
      <c r="A62" s="596" t="s">
        <v>1607</v>
      </c>
      <c r="B62" s="73"/>
      <c r="C62" s="109"/>
      <c r="D62" s="109"/>
      <c r="E62" s="109"/>
      <c r="F62" s="109"/>
      <c r="G62" s="109"/>
      <c r="H62" s="109"/>
      <c r="I62" s="109"/>
      <c r="J62" s="75">
        <f t="shared" si="2"/>
        <v>0</v>
      </c>
      <c r="K62" s="75">
        <f t="shared" si="3"/>
        <v>0</v>
      </c>
      <c r="L62" s="109"/>
      <c r="M62" s="110"/>
      <c r="N62" s="847"/>
    </row>
    <row r="63" spans="1:14" ht="12.75" customHeight="1" x14ac:dyDescent="0.25">
      <c r="A63" s="596" t="s">
        <v>1594</v>
      </c>
      <c r="B63" s="73"/>
      <c r="C63" s="109"/>
      <c r="D63" s="109"/>
      <c r="E63" s="109"/>
      <c r="F63" s="109"/>
      <c r="G63" s="109"/>
      <c r="H63" s="109"/>
      <c r="I63" s="109"/>
      <c r="J63" s="75">
        <f t="shared" si="2"/>
        <v>0</v>
      </c>
      <c r="K63" s="75">
        <f t="shared" si="3"/>
        <v>0</v>
      </c>
      <c r="L63" s="109"/>
      <c r="M63" s="110"/>
      <c r="N63" s="852"/>
    </row>
    <row r="64" spans="1:14" ht="12.75" customHeight="1" x14ac:dyDescent="0.25">
      <c r="A64" s="597" t="s">
        <v>1634</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1635</v>
      </c>
      <c r="B65" s="73"/>
      <c r="C65" s="109"/>
      <c r="D65" s="109"/>
      <c r="E65" s="109"/>
      <c r="F65" s="109"/>
      <c r="G65" s="109"/>
      <c r="H65" s="109"/>
      <c r="I65" s="109"/>
      <c r="J65" s="75">
        <f t="shared" si="2"/>
        <v>0</v>
      </c>
      <c r="K65" s="75">
        <f t="shared" si="3"/>
        <v>0</v>
      </c>
      <c r="L65" s="109"/>
      <c r="M65" s="110"/>
      <c r="N65" s="847"/>
    </row>
    <row r="66" spans="1:14" ht="12.75" customHeight="1" x14ac:dyDescent="0.25">
      <c r="A66" s="596" t="s">
        <v>1636</v>
      </c>
      <c r="B66" s="73"/>
      <c r="C66" s="109"/>
      <c r="D66" s="109"/>
      <c r="E66" s="109"/>
      <c r="F66" s="109"/>
      <c r="G66" s="109"/>
      <c r="H66" s="109"/>
      <c r="I66" s="109"/>
      <c r="J66" s="75">
        <f t="shared" si="2"/>
        <v>0</v>
      </c>
      <c r="K66" s="75">
        <f t="shared" si="3"/>
        <v>0</v>
      </c>
      <c r="L66" s="109"/>
      <c r="M66" s="110"/>
      <c r="N66" s="847"/>
    </row>
    <row r="67" spans="1:14" ht="12.75" customHeight="1" x14ac:dyDescent="0.25">
      <c r="A67" s="596" t="s">
        <v>1637</v>
      </c>
      <c r="B67" s="73"/>
      <c r="C67" s="109"/>
      <c r="D67" s="109"/>
      <c r="E67" s="109"/>
      <c r="F67" s="109"/>
      <c r="G67" s="109"/>
      <c r="H67" s="109"/>
      <c r="I67" s="109"/>
      <c r="J67" s="75">
        <f t="shared" si="2"/>
        <v>0</v>
      </c>
      <c r="K67" s="75">
        <f t="shared" si="3"/>
        <v>0</v>
      </c>
      <c r="L67" s="109"/>
      <c r="M67" s="110"/>
      <c r="N67" s="852"/>
    </row>
    <row r="68" spans="1:14" ht="12.75" customHeight="1" x14ac:dyDescent="0.25">
      <c r="A68" s="596" t="s">
        <v>1638</v>
      </c>
      <c r="B68" s="73"/>
      <c r="C68" s="109"/>
      <c r="D68" s="109"/>
      <c r="E68" s="109"/>
      <c r="F68" s="109"/>
      <c r="G68" s="109"/>
      <c r="H68" s="109"/>
      <c r="I68" s="109"/>
      <c r="J68" s="75">
        <f t="shared" si="2"/>
        <v>0</v>
      </c>
      <c r="K68" s="75">
        <f t="shared" si="3"/>
        <v>0</v>
      </c>
      <c r="L68" s="109"/>
      <c r="M68" s="110"/>
      <c r="N68" s="847"/>
    </row>
    <row r="69" spans="1:14" ht="12.75" customHeight="1" x14ac:dyDescent="0.25">
      <c r="A69" s="596" t="s">
        <v>1594</v>
      </c>
      <c r="B69" s="73"/>
      <c r="C69" s="109"/>
      <c r="D69" s="109"/>
      <c r="E69" s="109"/>
      <c r="F69" s="109"/>
      <c r="G69" s="109"/>
      <c r="H69" s="109"/>
      <c r="I69" s="109"/>
      <c r="J69" s="75">
        <f t="shared" si="2"/>
        <v>0</v>
      </c>
      <c r="K69" s="75">
        <f t="shared" si="3"/>
        <v>0</v>
      </c>
      <c r="L69" s="109"/>
      <c r="M69" s="110"/>
      <c r="N69" s="852"/>
    </row>
    <row r="70" spans="1:14" ht="12.75" customHeight="1" x14ac:dyDescent="0.25">
      <c r="A70" s="595" t="s">
        <v>1639</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2"/>
    </row>
    <row r="71" spans="1:14" ht="12.75" customHeight="1" x14ac:dyDescent="0.25">
      <c r="A71" s="596" t="s">
        <v>1640</v>
      </c>
      <c r="B71" s="73"/>
      <c r="C71" s="109"/>
      <c r="D71" s="109"/>
      <c r="E71" s="109"/>
      <c r="F71" s="109"/>
      <c r="G71" s="109"/>
      <c r="H71" s="109"/>
      <c r="I71" s="109"/>
      <c r="J71" s="75">
        <f t="shared" si="2"/>
        <v>0</v>
      </c>
      <c r="K71" s="75">
        <f t="shared" si="3"/>
        <v>0</v>
      </c>
      <c r="L71" s="109"/>
      <c r="M71" s="110"/>
      <c r="N71" s="852"/>
    </row>
    <row r="72" spans="1:14" ht="12.75" customHeight="1" x14ac:dyDescent="0.25">
      <c r="A72" s="596" t="s">
        <v>1641</v>
      </c>
      <c r="B72" s="73"/>
      <c r="C72" s="109"/>
      <c r="D72" s="109"/>
      <c r="E72" s="109"/>
      <c r="F72" s="109"/>
      <c r="G72" s="109"/>
      <c r="H72" s="109"/>
      <c r="I72" s="109"/>
      <c r="J72" s="75">
        <f t="shared" si="2"/>
        <v>0</v>
      </c>
      <c r="K72" s="75">
        <f t="shared" si="3"/>
        <v>0</v>
      </c>
      <c r="L72" s="109"/>
      <c r="M72" s="110"/>
      <c r="N72" s="852"/>
    </row>
    <row r="73" spans="1:14" ht="12.75" customHeight="1" x14ac:dyDescent="0.25">
      <c r="A73" s="596" t="s">
        <v>1642</v>
      </c>
      <c r="B73" s="73"/>
      <c r="C73" s="109"/>
      <c r="D73" s="109"/>
      <c r="E73" s="109"/>
      <c r="F73" s="109"/>
      <c r="G73" s="109"/>
      <c r="H73" s="109"/>
      <c r="I73" s="109"/>
      <c r="J73" s="75">
        <f t="shared" ref="J73:J136" si="12">SUM(E73:I73)</f>
        <v>0</v>
      </c>
      <c r="K73" s="75">
        <f t="shared" ref="K73:K136" si="13">IF(D73=0,C73+J73,D73+J73)</f>
        <v>0</v>
      </c>
      <c r="L73" s="109"/>
      <c r="M73" s="110"/>
      <c r="N73" s="852"/>
    </row>
    <row r="74" spans="1:14" ht="12.75" customHeight="1" x14ac:dyDescent="0.25">
      <c r="A74" s="596" t="s">
        <v>1594</v>
      </c>
      <c r="B74" s="73"/>
      <c r="C74" s="109"/>
      <c r="D74" s="109"/>
      <c r="E74" s="109"/>
      <c r="F74" s="109"/>
      <c r="G74" s="109"/>
      <c r="H74" s="109"/>
      <c r="I74" s="109"/>
      <c r="J74" s="75">
        <f t="shared" si="12"/>
        <v>0</v>
      </c>
      <c r="K74" s="75">
        <f t="shared" si="13"/>
        <v>0</v>
      </c>
      <c r="L74" s="109"/>
      <c r="M74" s="110"/>
      <c r="N74" s="852"/>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1643</v>
      </c>
      <c r="B76" s="73"/>
      <c r="C76" s="236">
        <f>+C77+C100</f>
        <v>69667</v>
      </c>
      <c r="D76" s="237">
        <f>+D77+D100</f>
        <v>0</v>
      </c>
      <c r="E76" s="237">
        <f t="shared" ref="E76:M76" si="14">+E77+E100</f>
        <v>0</v>
      </c>
      <c r="F76" s="237">
        <f t="shared" si="14"/>
        <v>0</v>
      </c>
      <c r="G76" s="237">
        <f t="shared" si="14"/>
        <v>0</v>
      </c>
      <c r="H76" s="237">
        <f t="shared" si="14"/>
        <v>0</v>
      </c>
      <c r="I76" s="237">
        <f t="shared" si="14"/>
        <v>0</v>
      </c>
      <c r="J76" s="145">
        <f t="shared" si="12"/>
        <v>0</v>
      </c>
      <c r="K76" s="145">
        <f t="shared" si="13"/>
        <v>69667</v>
      </c>
      <c r="L76" s="237">
        <f t="shared" si="14"/>
        <v>73498.684999999998</v>
      </c>
      <c r="M76" s="238">
        <f t="shared" si="14"/>
        <v>77541.112674999997</v>
      </c>
      <c r="N76" s="128"/>
    </row>
    <row r="77" spans="1:14" ht="12.75" customHeight="1" x14ac:dyDescent="0.25">
      <c r="A77" s="595" t="s">
        <v>1644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2"/>
    </row>
    <row r="78" spans="1:14" ht="12.75" customHeight="1" x14ac:dyDescent="0.25">
      <c r="A78" s="596" t="s">
        <v>1645</v>
      </c>
      <c r="B78" s="73"/>
      <c r="C78" s="130"/>
      <c r="D78" s="109"/>
      <c r="E78" s="109"/>
      <c r="F78" s="109"/>
      <c r="G78" s="109"/>
      <c r="H78" s="109"/>
      <c r="I78" s="109"/>
      <c r="J78" s="75">
        <f t="shared" si="12"/>
        <v>0</v>
      </c>
      <c r="K78" s="75">
        <f t="shared" si="13"/>
        <v>0</v>
      </c>
      <c r="L78" s="109"/>
      <c r="M78" s="110"/>
      <c r="N78" s="128"/>
    </row>
    <row r="79" spans="1:14" ht="12.75" customHeight="1" x14ac:dyDescent="0.25">
      <c r="A79" s="596" t="s">
        <v>1646</v>
      </c>
      <c r="B79" s="73"/>
      <c r="C79" s="130"/>
      <c r="D79" s="109"/>
      <c r="E79" s="109"/>
      <c r="F79" s="109"/>
      <c r="G79" s="109"/>
      <c r="H79" s="109"/>
      <c r="I79" s="109"/>
      <c r="J79" s="75">
        <f t="shared" si="12"/>
        <v>0</v>
      </c>
      <c r="K79" s="75">
        <f t="shared" si="13"/>
        <v>0</v>
      </c>
      <c r="L79" s="109"/>
      <c r="M79" s="110"/>
      <c r="N79" s="128"/>
    </row>
    <row r="80" spans="1:14" ht="12.75" customHeight="1" x14ac:dyDescent="0.25">
      <c r="A80" s="596" t="s">
        <v>1647</v>
      </c>
      <c r="B80" s="73"/>
      <c r="C80" s="130"/>
      <c r="D80" s="109"/>
      <c r="E80" s="109"/>
      <c r="F80" s="109"/>
      <c r="G80" s="109"/>
      <c r="H80" s="109"/>
      <c r="I80" s="109"/>
      <c r="J80" s="75">
        <f t="shared" si="12"/>
        <v>0</v>
      </c>
      <c r="K80" s="75">
        <f t="shared" si="13"/>
        <v>0</v>
      </c>
      <c r="L80" s="109"/>
      <c r="M80" s="110"/>
      <c r="N80" s="128"/>
    </row>
    <row r="81" spans="1:14" ht="12.75" customHeight="1" x14ac:dyDescent="0.25">
      <c r="A81" s="596" t="s">
        <v>1648</v>
      </c>
      <c r="B81" s="73"/>
      <c r="C81" s="130"/>
      <c r="D81" s="109"/>
      <c r="E81" s="109"/>
      <c r="F81" s="109"/>
      <c r="G81" s="109"/>
      <c r="H81" s="109"/>
      <c r="I81" s="109"/>
      <c r="J81" s="75">
        <f t="shared" si="12"/>
        <v>0</v>
      </c>
      <c r="K81" s="75">
        <f t="shared" si="13"/>
        <v>0</v>
      </c>
      <c r="L81" s="109"/>
      <c r="M81" s="110"/>
      <c r="N81" s="128"/>
    </row>
    <row r="82" spans="1:14" ht="12.75" customHeight="1" x14ac:dyDescent="0.25">
      <c r="A82" s="596" t="s">
        <v>1649</v>
      </c>
      <c r="B82" s="73"/>
      <c r="C82" s="130"/>
      <c r="D82" s="109"/>
      <c r="E82" s="109"/>
      <c r="F82" s="109"/>
      <c r="G82" s="109"/>
      <c r="H82" s="109"/>
      <c r="I82" s="109"/>
      <c r="J82" s="75">
        <f t="shared" si="12"/>
        <v>0</v>
      </c>
      <c r="K82" s="75">
        <f t="shared" si="13"/>
        <v>0</v>
      </c>
      <c r="L82" s="109"/>
      <c r="M82" s="110"/>
      <c r="N82" s="128"/>
    </row>
    <row r="83" spans="1:14" ht="12.75" customHeight="1" x14ac:dyDescent="0.25">
      <c r="A83" s="596" t="s">
        <v>1650</v>
      </c>
      <c r="B83" s="73"/>
      <c r="C83" s="130"/>
      <c r="D83" s="109"/>
      <c r="E83" s="109"/>
      <c r="F83" s="109"/>
      <c r="G83" s="109"/>
      <c r="H83" s="109"/>
      <c r="I83" s="109"/>
      <c r="J83" s="75">
        <f t="shared" si="12"/>
        <v>0</v>
      </c>
      <c r="K83" s="75">
        <f t="shared" si="13"/>
        <v>0</v>
      </c>
      <c r="L83" s="109"/>
      <c r="M83" s="110"/>
      <c r="N83" s="128"/>
    </row>
    <row r="84" spans="1:14" ht="12.75" customHeight="1" x14ac:dyDescent="0.25">
      <c r="A84" s="596" t="s">
        <v>1651</v>
      </c>
      <c r="B84" s="73"/>
      <c r="C84" s="130"/>
      <c r="D84" s="109"/>
      <c r="E84" s="109"/>
      <c r="F84" s="109"/>
      <c r="G84" s="109"/>
      <c r="H84" s="109"/>
      <c r="I84" s="109"/>
      <c r="J84" s="75">
        <f t="shared" si="12"/>
        <v>0</v>
      </c>
      <c r="K84" s="75">
        <f t="shared" si="13"/>
        <v>0</v>
      </c>
      <c r="L84" s="109"/>
      <c r="M84" s="110"/>
      <c r="N84" s="128"/>
    </row>
    <row r="85" spans="1:14" ht="12.75" customHeight="1" x14ac:dyDescent="0.25">
      <c r="A85" s="596" t="s">
        <v>1652</v>
      </c>
      <c r="B85" s="73"/>
      <c r="C85" s="130"/>
      <c r="D85" s="109"/>
      <c r="E85" s="109"/>
      <c r="F85" s="109"/>
      <c r="G85" s="109"/>
      <c r="H85" s="109"/>
      <c r="I85" s="109"/>
      <c r="J85" s="75">
        <f t="shared" si="12"/>
        <v>0</v>
      </c>
      <c r="K85" s="75">
        <f t="shared" si="13"/>
        <v>0</v>
      </c>
      <c r="L85" s="109"/>
      <c r="M85" s="110"/>
      <c r="N85" s="128"/>
    </row>
    <row r="86" spans="1:14" ht="12.75" customHeight="1" x14ac:dyDescent="0.25">
      <c r="A86" s="596" t="s">
        <v>1532</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1653</v>
      </c>
      <c r="B88" s="73"/>
      <c r="C88" s="130"/>
      <c r="D88" s="109"/>
      <c r="E88" s="109"/>
      <c r="F88" s="109"/>
      <c r="G88" s="109"/>
      <c r="H88" s="109"/>
      <c r="I88" s="109"/>
      <c r="J88" s="75">
        <f t="shared" si="12"/>
        <v>0</v>
      </c>
      <c r="K88" s="75">
        <f t="shared" si="13"/>
        <v>0</v>
      </c>
      <c r="L88" s="109"/>
      <c r="M88" s="110"/>
      <c r="N88" s="128"/>
    </row>
    <row r="89" spans="1:14" ht="12.75" customHeight="1" x14ac:dyDescent="0.25">
      <c r="A89" s="596" t="s">
        <v>1654</v>
      </c>
      <c r="B89" s="73"/>
      <c r="C89" s="130"/>
      <c r="D89" s="109"/>
      <c r="E89" s="109"/>
      <c r="F89" s="109"/>
      <c r="G89" s="109"/>
      <c r="H89" s="109"/>
      <c r="I89" s="109"/>
      <c r="J89" s="75">
        <f t="shared" si="12"/>
        <v>0</v>
      </c>
      <c r="K89" s="75">
        <f t="shared" si="13"/>
        <v>0</v>
      </c>
      <c r="L89" s="109"/>
      <c r="M89" s="110"/>
      <c r="N89" s="128"/>
    </row>
    <row r="90" spans="1:14" ht="12.75" customHeight="1" x14ac:dyDescent="0.25">
      <c r="A90" s="596" t="s">
        <v>1655</v>
      </c>
      <c r="B90" s="73"/>
      <c r="C90" s="130"/>
      <c r="D90" s="109"/>
      <c r="E90" s="109"/>
      <c r="F90" s="109"/>
      <c r="G90" s="109"/>
      <c r="H90" s="109"/>
      <c r="I90" s="109"/>
      <c r="J90" s="75">
        <f t="shared" si="12"/>
        <v>0</v>
      </c>
      <c r="K90" s="75">
        <f t="shared" si="13"/>
        <v>0</v>
      </c>
      <c r="L90" s="109"/>
      <c r="M90" s="110"/>
      <c r="N90" s="128"/>
    </row>
    <row r="91" spans="1:14" ht="12.75" customHeight="1" x14ac:dyDescent="0.25">
      <c r="A91" s="596" t="s">
        <v>1656</v>
      </c>
      <c r="B91" s="73"/>
      <c r="C91" s="130"/>
      <c r="D91" s="109"/>
      <c r="E91" s="109"/>
      <c r="F91" s="109"/>
      <c r="G91" s="109"/>
      <c r="H91" s="109"/>
      <c r="I91" s="109"/>
      <c r="J91" s="75">
        <f t="shared" si="12"/>
        <v>0</v>
      </c>
      <c r="K91" s="75">
        <f t="shared" si="13"/>
        <v>0</v>
      </c>
      <c r="L91" s="109"/>
      <c r="M91" s="110"/>
      <c r="N91" s="128"/>
    </row>
    <row r="92" spans="1:14" ht="12.75" customHeight="1" x14ac:dyDescent="0.25">
      <c r="A92" s="596" t="s">
        <v>1657</v>
      </c>
      <c r="B92" s="73"/>
      <c r="C92" s="130"/>
      <c r="D92" s="109"/>
      <c r="E92" s="109"/>
      <c r="F92" s="109"/>
      <c r="G92" s="109"/>
      <c r="H92" s="109"/>
      <c r="I92" s="109"/>
      <c r="J92" s="75">
        <f t="shared" si="12"/>
        <v>0</v>
      </c>
      <c r="K92" s="75">
        <f t="shared" si="13"/>
        <v>0</v>
      </c>
      <c r="L92" s="109"/>
      <c r="M92" s="110"/>
      <c r="N92" s="128"/>
    </row>
    <row r="93" spans="1:14" ht="12.75" customHeight="1" x14ac:dyDescent="0.25">
      <c r="A93" s="596" t="s">
        <v>1658</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1659</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52"/>
    </row>
    <row r="97" spans="1:14" ht="12.75" customHeight="1" x14ac:dyDescent="0.25">
      <c r="A97" s="596" t="s">
        <v>1660</v>
      </c>
      <c r="B97" s="73"/>
      <c r="C97" s="130"/>
      <c r="D97" s="109"/>
      <c r="E97" s="109"/>
      <c r="F97" s="109"/>
      <c r="G97" s="109"/>
      <c r="H97" s="109"/>
      <c r="I97" s="109"/>
      <c r="J97" s="75">
        <f t="shared" si="12"/>
        <v>0</v>
      </c>
      <c r="K97" s="75">
        <f t="shared" si="13"/>
        <v>0</v>
      </c>
      <c r="L97" s="109"/>
      <c r="M97" s="110"/>
      <c r="N97" s="128"/>
    </row>
    <row r="98" spans="1:14" ht="12.75" customHeight="1" x14ac:dyDescent="0.25">
      <c r="A98" s="596" t="s">
        <v>1661</v>
      </c>
      <c r="B98" s="73"/>
      <c r="C98" s="130"/>
      <c r="D98" s="109"/>
      <c r="E98" s="109"/>
      <c r="F98" s="109"/>
      <c r="G98" s="109"/>
      <c r="H98" s="109"/>
      <c r="I98" s="109"/>
      <c r="J98" s="75">
        <f t="shared" si="12"/>
        <v>0</v>
      </c>
      <c r="K98" s="75">
        <f t="shared" si="13"/>
        <v>0</v>
      </c>
      <c r="L98" s="109"/>
      <c r="M98" s="110"/>
      <c r="N98" s="128"/>
    </row>
    <row r="99" spans="1:14" ht="12.75" customHeight="1" x14ac:dyDescent="0.25">
      <c r="A99" s="596" t="s">
        <v>1594</v>
      </c>
      <c r="B99" s="73"/>
      <c r="C99" s="130"/>
      <c r="D99" s="109"/>
      <c r="E99" s="109"/>
      <c r="F99" s="109"/>
      <c r="G99" s="109"/>
      <c r="H99" s="109"/>
      <c r="I99" s="109"/>
      <c r="J99" s="75">
        <f t="shared" si="12"/>
        <v>0</v>
      </c>
      <c r="K99" s="75">
        <f t="shared" si="13"/>
        <v>0</v>
      </c>
      <c r="L99" s="109"/>
      <c r="M99" s="110"/>
      <c r="N99" s="128"/>
    </row>
    <row r="100" spans="1:14" ht="10.15" customHeight="1" x14ac:dyDescent="0.25">
      <c r="A100" s="595" t="s">
        <v>1662</v>
      </c>
      <c r="B100" s="73"/>
      <c r="C100" s="140">
        <f>SUM(C101:C103)</f>
        <v>69667</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69667</v>
      </c>
      <c r="L100" s="141">
        <f t="shared" si="16"/>
        <v>73498.684999999998</v>
      </c>
      <c r="M100" s="142">
        <f t="shared" si="16"/>
        <v>77541.112674999997</v>
      </c>
      <c r="N100" s="128"/>
    </row>
    <row r="101" spans="1:14" ht="12.75" customHeight="1" x14ac:dyDescent="0.25">
      <c r="A101" s="596" t="s">
        <v>1663</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1664</v>
      </c>
      <c r="B102" s="73"/>
      <c r="C102" s="130">
        <v>69667</v>
      </c>
      <c r="D102" s="109"/>
      <c r="E102" s="109"/>
      <c r="F102" s="109"/>
      <c r="G102" s="109"/>
      <c r="H102" s="109"/>
      <c r="I102" s="109"/>
      <c r="J102" s="75">
        <f t="shared" si="12"/>
        <v>0</v>
      </c>
      <c r="K102" s="75">
        <f t="shared" si="13"/>
        <v>69667</v>
      </c>
      <c r="L102" s="109">
        <v>73498.684999999998</v>
      </c>
      <c r="M102" s="110">
        <v>77541.112674999997</v>
      </c>
      <c r="N102" s="128"/>
    </row>
    <row r="103" spans="1:14" ht="12.75" customHeight="1" x14ac:dyDescent="0.25">
      <c r="A103" s="596" t="s">
        <v>1594</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773</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1665</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1666</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1667</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1668</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1669</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39"/>
      <c r="B111" s="73"/>
      <c r="C111" s="74"/>
      <c r="D111" s="75"/>
      <c r="E111" s="75"/>
      <c r="F111" s="75"/>
      <c r="G111" s="75"/>
      <c r="H111" s="75"/>
      <c r="I111" s="75"/>
      <c r="J111" s="75"/>
      <c r="K111" s="75"/>
      <c r="L111" s="75"/>
      <c r="M111" s="76"/>
      <c r="N111" s="128"/>
    </row>
    <row r="112" spans="1:14" ht="12.75" customHeight="1" x14ac:dyDescent="0.25">
      <c r="A112" s="1240" t="s">
        <v>774</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1671</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1672</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1671</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1672</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0" t="s">
        <v>775</v>
      </c>
      <c r="B120" s="73"/>
      <c r="C120" s="236">
        <f>+C121+C133</f>
        <v>2420145</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2420145</v>
      </c>
      <c r="L120" s="237">
        <f>+L121+L133</f>
        <v>2553252.9749999992</v>
      </c>
      <c r="M120" s="238">
        <f>+M121+M133</f>
        <v>2693681.8886249992</v>
      </c>
      <c r="N120" s="128"/>
    </row>
    <row r="121" spans="1:14" ht="10.15" customHeight="1" x14ac:dyDescent="0.25">
      <c r="A121" s="595" t="s">
        <v>1674</v>
      </c>
      <c r="B121" s="73"/>
      <c r="C121" s="140">
        <f>SUM(C122:C132)</f>
        <v>2420145</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2420145</v>
      </c>
      <c r="L121" s="141">
        <f>SUM(L122:L132)</f>
        <v>2553252.9749999992</v>
      </c>
      <c r="M121" s="142">
        <f>SUM(M122:M132)</f>
        <v>2693681.8886249992</v>
      </c>
      <c r="N121" s="128"/>
    </row>
    <row r="122" spans="1:14" ht="12.75" customHeight="1" x14ac:dyDescent="0.25">
      <c r="A122" s="596" t="s">
        <v>1675</v>
      </c>
      <c r="B122" s="73"/>
      <c r="C122" s="130">
        <v>2160184</v>
      </c>
      <c r="D122" s="109"/>
      <c r="E122" s="109"/>
      <c r="F122" s="109"/>
      <c r="G122" s="109"/>
      <c r="H122" s="109"/>
      <c r="I122" s="109"/>
      <c r="J122" s="75">
        <f t="shared" si="12"/>
        <v>0</v>
      </c>
      <c r="K122" s="75">
        <f t="shared" si="13"/>
        <v>2160184</v>
      </c>
      <c r="L122" s="109">
        <v>2278994.1199999992</v>
      </c>
      <c r="M122" s="110">
        <v>2404338.7965999991</v>
      </c>
      <c r="N122" s="128"/>
    </row>
    <row r="123" spans="1:14" ht="12.75" customHeight="1" x14ac:dyDescent="0.25">
      <c r="A123" s="596" t="s">
        <v>1676</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1677</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1678</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1679</v>
      </c>
      <c r="B126" s="73"/>
      <c r="C126" s="130">
        <v>259961</v>
      </c>
      <c r="D126" s="109"/>
      <c r="E126" s="109"/>
      <c r="F126" s="109"/>
      <c r="G126" s="109"/>
      <c r="H126" s="109"/>
      <c r="I126" s="109"/>
      <c r="J126" s="75">
        <f t="shared" si="12"/>
        <v>0</v>
      </c>
      <c r="K126" s="75">
        <f t="shared" si="13"/>
        <v>259961</v>
      </c>
      <c r="L126" s="109">
        <v>274258.85499999998</v>
      </c>
      <c r="M126" s="110">
        <v>289343.09202500002</v>
      </c>
      <c r="N126" s="128"/>
    </row>
    <row r="127" spans="1:14" ht="12.75" customHeight="1" x14ac:dyDescent="0.25">
      <c r="A127" s="596" t="s">
        <v>1680</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1681</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1682</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1683</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1684</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1594</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7" customFormat="1" ht="12.75" customHeight="1" x14ac:dyDescent="0.25">
      <c r="A134" s="596" t="s">
        <v>1685</v>
      </c>
      <c r="B134" s="1241"/>
      <c r="C134" s="1242"/>
      <c r="D134" s="1243"/>
      <c r="E134" s="109"/>
      <c r="F134" s="1243"/>
      <c r="G134" s="1243"/>
      <c r="H134" s="1243"/>
      <c r="I134" s="1243"/>
      <c r="J134" s="1244">
        <f t="shared" si="12"/>
        <v>0</v>
      </c>
      <c r="K134" s="1244">
        <f t="shared" si="13"/>
        <v>0</v>
      </c>
      <c r="L134" s="1243"/>
      <c r="M134" s="1245"/>
      <c r="N134" s="1246"/>
    </row>
    <row r="135" spans="1:14" ht="12.75" customHeight="1" x14ac:dyDescent="0.25">
      <c r="A135" s="596" t="s">
        <v>1686</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1594</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1687</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48"/>
      <c r="B140" s="73"/>
      <c r="C140" s="74"/>
      <c r="D140" s="75"/>
      <c r="E140" s="75"/>
      <c r="F140" s="75"/>
      <c r="G140" s="75"/>
      <c r="H140" s="75"/>
      <c r="I140" s="75"/>
      <c r="J140" s="75"/>
      <c r="K140" s="75"/>
      <c r="L140" s="75"/>
      <c r="M140" s="76"/>
      <c r="N140" s="128"/>
    </row>
    <row r="141" spans="1:14" ht="12.75" customHeight="1" x14ac:dyDescent="0.25">
      <c r="A141" s="493" t="s">
        <v>1688</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1689</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1690</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1691</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1692</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1693</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1694</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1695</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1696</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48"/>
      <c r="B150" s="73"/>
      <c r="C150" s="74"/>
      <c r="D150" s="75"/>
      <c r="E150" s="75"/>
      <c r="F150" s="75"/>
      <c r="G150" s="75"/>
      <c r="H150" s="75"/>
      <c r="I150" s="75"/>
      <c r="J150" s="75"/>
      <c r="K150" s="75"/>
      <c r="L150" s="75"/>
      <c r="M150" s="76"/>
      <c r="N150" s="128"/>
    </row>
    <row r="151" spans="1:14" ht="12.75" customHeight="1" x14ac:dyDescent="0.25">
      <c r="A151" s="493" t="s">
        <v>1697</v>
      </c>
      <c r="B151" s="73"/>
      <c r="C151" s="236">
        <f t="shared" ref="C151:M151" si="29">SUM(C152:C152)</f>
        <v>365000</v>
      </c>
      <c r="D151" s="237">
        <f t="shared" si="29"/>
        <v>0</v>
      </c>
      <c r="E151" s="237">
        <f t="shared" si="29"/>
        <v>0</v>
      </c>
      <c r="F151" s="237">
        <f t="shared" si="29"/>
        <v>0</v>
      </c>
      <c r="G151" s="237">
        <f t="shared" si="29"/>
        <v>0</v>
      </c>
      <c r="H151" s="237">
        <f t="shared" si="29"/>
        <v>0</v>
      </c>
      <c r="I151" s="237">
        <f t="shared" si="29"/>
        <v>0</v>
      </c>
      <c r="J151" s="237">
        <f t="shared" si="25"/>
        <v>0</v>
      </c>
      <c r="K151" s="237">
        <f t="shared" si="26"/>
        <v>365000</v>
      </c>
      <c r="L151" s="237">
        <f t="shared" si="29"/>
        <v>385075</v>
      </c>
      <c r="M151" s="238">
        <f t="shared" si="29"/>
        <v>406254.125</v>
      </c>
      <c r="N151" s="128"/>
    </row>
    <row r="152" spans="1:14" ht="12.75" customHeight="1" x14ac:dyDescent="0.25">
      <c r="A152" s="595" t="s">
        <v>1697</v>
      </c>
      <c r="B152" s="73"/>
      <c r="C152" s="130">
        <v>365000</v>
      </c>
      <c r="D152" s="109"/>
      <c r="E152" s="109"/>
      <c r="F152" s="109"/>
      <c r="G152" s="109"/>
      <c r="H152" s="109"/>
      <c r="I152" s="109"/>
      <c r="J152" s="75">
        <f t="shared" si="25"/>
        <v>0</v>
      </c>
      <c r="K152" s="75">
        <f t="shared" si="26"/>
        <v>365000</v>
      </c>
      <c r="L152" s="109">
        <v>385075</v>
      </c>
      <c r="M152" s="110">
        <v>406254.125</v>
      </c>
      <c r="N152" s="128"/>
    </row>
    <row r="153" spans="1:14" ht="4.9000000000000004" customHeight="1" x14ac:dyDescent="0.25">
      <c r="A153" s="1248"/>
      <c r="B153" s="73"/>
      <c r="C153" s="74"/>
      <c r="D153" s="75"/>
      <c r="E153" s="75"/>
      <c r="F153" s="75"/>
      <c r="G153" s="75"/>
      <c r="H153" s="75"/>
      <c r="I153" s="75"/>
      <c r="J153" s="75"/>
      <c r="K153" s="75"/>
      <c r="L153" s="75"/>
      <c r="M153" s="76"/>
      <c r="N153" s="128"/>
    </row>
    <row r="154" spans="1:14" ht="12.75" customHeight="1" x14ac:dyDescent="0.25">
      <c r="A154" s="493" t="s">
        <v>1698</v>
      </c>
      <c r="B154" s="73"/>
      <c r="C154" s="236">
        <f t="shared" ref="C154:M154" si="30">SUM(C155:C155)</f>
        <v>54664</v>
      </c>
      <c r="D154" s="237">
        <f t="shared" si="30"/>
        <v>0</v>
      </c>
      <c r="E154" s="237">
        <f t="shared" si="30"/>
        <v>0</v>
      </c>
      <c r="F154" s="237">
        <f t="shared" si="30"/>
        <v>0</v>
      </c>
      <c r="G154" s="237">
        <f t="shared" si="30"/>
        <v>0</v>
      </c>
      <c r="H154" s="237">
        <f t="shared" si="30"/>
        <v>0</v>
      </c>
      <c r="I154" s="237">
        <f t="shared" si="30"/>
        <v>0</v>
      </c>
      <c r="J154" s="237">
        <f t="shared" si="25"/>
        <v>0</v>
      </c>
      <c r="K154" s="237">
        <f t="shared" si="26"/>
        <v>54664</v>
      </c>
      <c r="L154" s="237">
        <f t="shared" si="30"/>
        <v>57670.519999999982</v>
      </c>
      <c r="M154" s="238">
        <f t="shared" si="30"/>
        <v>60842.3986</v>
      </c>
      <c r="N154" s="128"/>
    </row>
    <row r="155" spans="1:14" ht="12.75" customHeight="1" x14ac:dyDescent="0.25">
      <c r="A155" s="595" t="s">
        <v>1698</v>
      </c>
      <c r="B155" s="73"/>
      <c r="C155" s="130">
        <v>54664</v>
      </c>
      <c r="D155" s="109"/>
      <c r="E155" s="109"/>
      <c r="F155" s="109"/>
      <c r="G155" s="109"/>
      <c r="H155" s="109"/>
      <c r="I155" s="109"/>
      <c r="J155" s="75">
        <f t="shared" si="25"/>
        <v>0</v>
      </c>
      <c r="K155" s="75">
        <f t="shared" si="26"/>
        <v>54664</v>
      </c>
      <c r="L155" s="109">
        <v>57670.519999999982</v>
      </c>
      <c r="M155" s="110">
        <v>60842.3986</v>
      </c>
      <c r="N155" s="128"/>
    </row>
    <row r="156" spans="1:14" ht="4.9000000000000004" customHeight="1" x14ac:dyDescent="0.25">
      <c r="A156" s="1248"/>
      <c r="B156" s="73"/>
      <c r="C156" s="74"/>
      <c r="D156" s="75"/>
      <c r="E156" s="75"/>
      <c r="F156" s="75"/>
      <c r="G156" s="75"/>
      <c r="H156" s="75"/>
      <c r="I156" s="75"/>
      <c r="J156" s="75"/>
      <c r="K156" s="75"/>
      <c r="L156" s="75"/>
      <c r="M156" s="76"/>
      <c r="N156" s="128"/>
    </row>
    <row r="157" spans="1:14" ht="12.75" customHeight="1" x14ac:dyDescent="0.25">
      <c r="A157" s="493" t="s">
        <v>1699</v>
      </c>
      <c r="B157" s="73"/>
      <c r="C157" s="236">
        <f t="shared" ref="C157:M157" si="31">SUM(C158:C158)</f>
        <v>586233</v>
      </c>
      <c r="D157" s="237">
        <f t="shared" si="31"/>
        <v>0</v>
      </c>
      <c r="E157" s="237">
        <f t="shared" si="31"/>
        <v>0</v>
      </c>
      <c r="F157" s="237">
        <f t="shared" si="31"/>
        <v>0</v>
      </c>
      <c r="G157" s="237">
        <f t="shared" si="31"/>
        <v>0</v>
      </c>
      <c r="H157" s="237">
        <f t="shared" si="31"/>
        <v>0</v>
      </c>
      <c r="I157" s="237">
        <f t="shared" si="31"/>
        <v>0</v>
      </c>
      <c r="J157" s="237">
        <f t="shared" si="25"/>
        <v>0</v>
      </c>
      <c r="K157" s="237">
        <f t="shared" si="26"/>
        <v>586233</v>
      </c>
      <c r="L157" s="237">
        <f t="shared" si="31"/>
        <v>618475.81500000041</v>
      </c>
      <c r="M157" s="238">
        <f t="shared" si="31"/>
        <v>652491.9848250011</v>
      </c>
      <c r="N157" s="128"/>
    </row>
    <row r="158" spans="1:14" ht="12.75" customHeight="1" x14ac:dyDescent="0.25">
      <c r="A158" s="595" t="s">
        <v>1699</v>
      </c>
      <c r="B158" s="73"/>
      <c r="C158" s="130">
        <v>586233</v>
      </c>
      <c r="D158" s="109"/>
      <c r="E158" s="109"/>
      <c r="F158" s="109"/>
      <c r="G158" s="109"/>
      <c r="H158" s="109"/>
      <c r="I158" s="109"/>
      <c r="J158" s="75">
        <f t="shared" si="25"/>
        <v>0</v>
      </c>
      <c r="K158" s="75">
        <f t="shared" si="26"/>
        <v>586233</v>
      </c>
      <c r="L158" s="109">
        <v>618475.81500000041</v>
      </c>
      <c r="M158" s="110">
        <v>652491.9848250011</v>
      </c>
      <c r="N158" s="128"/>
    </row>
    <row r="159" spans="1:14" ht="4.9000000000000004" customHeight="1" x14ac:dyDescent="0.25">
      <c r="A159" s="1248"/>
      <c r="B159" s="73"/>
      <c r="C159" s="74"/>
      <c r="D159" s="75"/>
      <c r="E159" s="75"/>
      <c r="F159" s="75"/>
      <c r="G159" s="75"/>
      <c r="H159" s="75"/>
      <c r="I159" s="75"/>
      <c r="J159" s="75"/>
      <c r="K159" s="75"/>
      <c r="L159" s="75"/>
      <c r="M159" s="76"/>
      <c r="N159" s="128"/>
    </row>
    <row r="160" spans="1:14" ht="12.75" customHeight="1" x14ac:dyDescent="0.25">
      <c r="A160" s="493" t="s">
        <v>1700</v>
      </c>
      <c r="B160" s="73"/>
      <c r="C160" s="236">
        <f t="shared" ref="C160:M160" si="32">SUM(C161:C161)</f>
        <v>1315489.6199999936</v>
      </c>
      <c r="D160" s="237">
        <f t="shared" si="32"/>
        <v>0</v>
      </c>
      <c r="E160" s="237">
        <f t="shared" si="32"/>
        <v>0</v>
      </c>
      <c r="F160" s="237">
        <f t="shared" si="32"/>
        <v>0</v>
      </c>
      <c r="G160" s="237">
        <f t="shared" si="32"/>
        <v>0</v>
      </c>
      <c r="H160" s="237">
        <f t="shared" si="32"/>
        <v>0</v>
      </c>
      <c r="I160" s="237">
        <f t="shared" si="32"/>
        <v>4574835</v>
      </c>
      <c r="J160" s="237">
        <f t="shared" si="25"/>
        <v>4574835</v>
      </c>
      <c r="K160" s="237">
        <f t="shared" si="26"/>
        <v>5890324.6199999936</v>
      </c>
      <c r="L160" s="237">
        <f t="shared" si="32"/>
        <v>6214292.5491000004</v>
      </c>
      <c r="M160" s="238">
        <f t="shared" si="32"/>
        <v>6556078.8343005003</v>
      </c>
      <c r="N160" s="128"/>
    </row>
    <row r="161" spans="1:14" ht="12.75" customHeight="1" x14ac:dyDescent="0.25">
      <c r="A161" s="595" t="s">
        <v>1700</v>
      </c>
      <c r="B161" s="73"/>
      <c r="C161" s="130">
        <v>1315489.6199999936</v>
      </c>
      <c r="D161" s="109"/>
      <c r="E161" s="109"/>
      <c r="F161" s="109"/>
      <c r="G161" s="109"/>
      <c r="H161" s="109"/>
      <c r="I161" s="109">
        <v>4574835</v>
      </c>
      <c r="J161" s="75">
        <f t="shared" si="25"/>
        <v>4574835</v>
      </c>
      <c r="K161" s="75">
        <f t="shared" si="26"/>
        <v>5890324.6199999936</v>
      </c>
      <c r="L161" s="109">
        <f>1387841.5491+4826451</f>
        <v>6214292.5491000004</v>
      </c>
      <c r="M161" s="110">
        <f>1464172.8343005+5091906</f>
        <v>6556078.8343005003</v>
      </c>
      <c r="N161" s="128"/>
    </row>
    <row r="162" spans="1:14" ht="4.9000000000000004" customHeight="1" x14ac:dyDescent="0.25">
      <c r="A162" s="1248"/>
      <c r="B162" s="73"/>
      <c r="C162" s="74"/>
      <c r="D162" s="75"/>
      <c r="E162" s="75"/>
      <c r="F162" s="75"/>
      <c r="G162" s="75"/>
      <c r="H162" s="75"/>
      <c r="I162" s="75"/>
      <c r="J162" s="75"/>
      <c r="K162" s="75"/>
      <c r="L162" s="75"/>
      <c r="M162" s="76"/>
      <c r="N162" s="128"/>
    </row>
    <row r="163" spans="1:14" ht="12.75" customHeight="1" x14ac:dyDescent="0.25">
      <c r="A163" s="493" t="s">
        <v>1757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1757</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48"/>
      <c r="B165" s="73"/>
      <c r="C165" s="74"/>
      <c r="D165" s="75"/>
      <c r="E165" s="75"/>
      <c r="F165" s="75"/>
      <c r="G165" s="75"/>
      <c r="H165" s="75"/>
      <c r="I165" s="75"/>
      <c r="J165" s="75"/>
      <c r="K165" s="75"/>
      <c r="L165" s="75"/>
      <c r="M165" s="76"/>
      <c r="N165" s="128"/>
    </row>
    <row r="166" spans="1:14" ht="12.75" customHeight="1" x14ac:dyDescent="0.25">
      <c r="A166" s="493" t="s">
        <v>1701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1701</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1205</v>
      </c>
      <c r="B169" s="156">
        <v>1</v>
      </c>
      <c r="C169" s="157">
        <f>C8+C76+C105+C112+C120+C151+C138+C141+C154+C157+C160+C163+C166</f>
        <v>51180124.61999999</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9801407</v>
      </c>
      <c r="J169" s="117">
        <f t="shared" si="25"/>
        <v>9801407</v>
      </c>
      <c r="K169" s="117">
        <f t="shared" si="26"/>
        <v>60981531.61999999</v>
      </c>
      <c r="L169" s="117">
        <f t="shared" si="35"/>
        <v>60094732.474100009</v>
      </c>
      <c r="M169" s="118">
        <f t="shared" si="35"/>
        <v>63399943.205175504</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5" t="s">
        <v>1206</v>
      </c>
      <c r="B171" s="762"/>
      <c r="C171" s="765"/>
      <c r="D171" s="765"/>
      <c r="E171" s="766"/>
      <c r="F171" s="766"/>
      <c r="G171" s="766"/>
      <c r="H171" s="766"/>
      <c r="I171" s="766"/>
      <c r="J171" s="53"/>
      <c r="K171" s="53"/>
      <c r="L171" s="53"/>
      <c r="M171" s="53"/>
      <c r="N171" s="128"/>
    </row>
    <row r="172" spans="1:14" ht="12.75" customHeight="1" x14ac:dyDescent="0.25">
      <c r="A172" s="1395" t="s">
        <v>992</v>
      </c>
      <c r="B172" s="1395"/>
      <c r="C172" s="1395"/>
      <c r="D172" s="1395"/>
      <c r="E172" s="1395"/>
      <c r="F172" s="1395"/>
      <c r="G172" s="1395"/>
      <c r="H172" s="1395"/>
      <c r="I172" s="1395"/>
      <c r="J172" s="1395"/>
      <c r="K172" s="1395"/>
      <c r="L172" s="1395"/>
      <c r="M172" s="1395"/>
      <c r="N172" s="128"/>
    </row>
    <row r="173" spans="1:14" ht="12.75" customHeight="1" x14ac:dyDescent="0.25">
      <c r="A173" s="1395" t="s">
        <v>998</v>
      </c>
      <c r="B173" s="1395"/>
      <c r="C173" s="1395"/>
      <c r="D173" s="1395"/>
      <c r="E173" s="1395"/>
      <c r="F173" s="1395"/>
      <c r="G173" s="1395"/>
      <c r="H173" s="1395"/>
      <c r="I173" s="1395"/>
      <c r="J173" s="1395"/>
      <c r="K173" s="832"/>
      <c r="L173" s="832"/>
      <c r="M173" s="832"/>
      <c r="N173" s="128"/>
    </row>
    <row r="174" spans="1:14" ht="12.75" customHeight="1" x14ac:dyDescent="0.25">
      <c r="A174" s="1395" t="s">
        <v>999</v>
      </c>
      <c r="B174" s="1395"/>
      <c r="C174" s="1395"/>
      <c r="D174" s="1395"/>
      <c r="E174" s="1395"/>
      <c r="F174" s="1395"/>
      <c r="G174" s="1395"/>
      <c r="H174" s="1395"/>
      <c r="I174" s="1395"/>
      <c r="J174" s="1395"/>
      <c r="K174" s="832"/>
      <c r="L174" s="832"/>
      <c r="M174" s="832"/>
      <c r="N174" s="128"/>
    </row>
    <row r="175" spans="1:14" ht="12.75" customHeight="1" x14ac:dyDescent="0.25">
      <c r="A175" s="1395" t="s">
        <v>1022</v>
      </c>
      <c r="B175" s="1395"/>
      <c r="C175" s="1395"/>
      <c r="D175" s="1395"/>
      <c r="E175" s="1395"/>
      <c r="F175" s="1395"/>
      <c r="G175" s="1395"/>
      <c r="H175" s="1395"/>
      <c r="I175" s="1395"/>
      <c r="J175" s="1395"/>
      <c r="K175" s="1395"/>
      <c r="L175" s="1395"/>
      <c r="M175" s="1395"/>
      <c r="N175" s="128"/>
    </row>
    <row r="176" spans="1:14" ht="12.75" customHeight="1" x14ac:dyDescent="0.25">
      <c r="A176" s="159" t="s">
        <v>1023</v>
      </c>
      <c r="B176" s="160"/>
      <c r="C176" s="94"/>
      <c r="D176" s="94"/>
      <c r="E176" s="94"/>
      <c r="F176" s="94"/>
      <c r="G176" s="94"/>
      <c r="H176" s="94"/>
      <c r="I176" s="94"/>
      <c r="J176" s="94"/>
      <c r="K176" s="94"/>
      <c r="L176" s="94"/>
      <c r="M176" s="94"/>
      <c r="N176" s="128"/>
    </row>
    <row r="177" spans="1:14" ht="12.75" customHeight="1" x14ac:dyDescent="0.25">
      <c r="A177" s="1395" t="s">
        <v>1024</v>
      </c>
      <c r="B177" s="1395"/>
      <c r="C177" s="1395"/>
      <c r="D177" s="1395"/>
      <c r="E177" s="1395"/>
      <c r="F177" s="1395"/>
      <c r="G177" s="1395"/>
      <c r="H177" s="1395"/>
      <c r="I177" s="1395"/>
      <c r="J177" s="1395"/>
      <c r="K177" s="1395"/>
      <c r="L177" s="1395"/>
      <c r="M177" s="1395"/>
      <c r="N177" s="128"/>
    </row>
    <row r="178" spans="1:14" ht="12.75" customHeight="1" x14ac:dyDescent="0.25">
      <c r="A178" s="159" t="s">
        <v>1025</v>
      </c>
      <c r="B178" s="160"/>
      <c r="C178" s="94"/>
      <c r="D178" s="94"/>
      <c r="E178" s="94"/>
      <c r="F178" s="94"/>
      <c r="G178" s="94"/>
      <c r="H178" s="94"/>
      <c r="I178" s="94"/>
      <c r="J178" s="94"/>
      <c r="K178" s="94"/>
      <c r="L178" s="94"/>
      <c r="M178" s="94"/>
      <c r="N178" s="128"/>
    </row>
    <row r="179" spans="1:14" ht="12.75" customHeight="1" x14ac:dyDescent="0.25">
      <c r="A179" s="1395" t="s">
        <v>1026</v>
      </c>
      <c r="B179" s="1395"/>
      <c r="C179" s="1395"/>
      <c r="D179" s="1395"/>
      <c r="E179" s="1395"/>
      <c r="F179" s="1395"/>
      <c r="G179" s="1395"/>
      <c r="H179" s="1395"/>
      <c r="I179" s="1395"/>
      <c r="J179" s="1395"/>
      <c r="K179" s="1395"/>
      <c r="L179" s="1395"/>
      <c r="M179" s="1395"/>
      <c r="N179" s="128"/>
    </row>
    <row r="180" spans="1:14" ht="11.25" customHeight="1" x14ac:dyDescent="0.25">
      <c r="A180" s="345"/>
      <c r="B180" s="793"/>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675</v>
      </c>
      <c r="B182" s="160"/>
      <c r="C182" s="795"/>
      <c r="D182" s="795"/>
      <c r="E182" s="795"/>
      <c r="F182" s="795"/>
      <c r="G182" s="795"/>
      <c r="H182" s="795"/>
      <c r="I182" s="795"/>
      <c r="J182" s="795"/>
      <c r="K182" s="795"/>
      <c r="L182" s="795"/>
      <c r="M182" s="795"/>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x14ac:dyDescent="0.2"/>
  <cols>
    <col min="1" max="1" width="28.7109375" style="660" bestFit="1" customWidth="1"/>
    <col min="2" max="2" width="25.7109375" style="660" customWidth="1"/>
    <col min="3" max="4" width="41.7109375" style="660" bestFit="1" customWidth="1"/>
    <col min="5" max="14" width="41.7109375" style="660" customWidth="1"/>
    <col min="15" max="15" width="43.42578125" style="660" bestFit="1" customWidth="1"/>
    <col min="16" max="16" width="1.28515625" style="660" customWidth="1"/>
    <col min="17" max="17" width="9.140625" style="660"/>
    <col min="18" max="19" width="33.42578125" style="660" bestFit="1" customWidth="1"/>
    <col min="20" max="20" width="30.42578125" style="660" bestFit="1" customWidth="1"/>
    <col min="21" max="21" width="27.7109375" style="660" customWidth="1"/>
    <col min="22" max="16384" width="9.140625" style="660"/>
  </cols>
  <sheetData>
    <row r="1" spans="1:22" s="1" customFormat="1" x14ac:dyDescent="0.2">
      <c r="A1" s="653" t="s">
        <v>248</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249</v>
      </c>
      <c r="R1" s="657" t="s">
        <v>250</v>
      </c>
      <c r="S1" s="657" t="s">
        <v>251</v>
      </c>
      <c r="T1" s="657" t="s">
        <v>252</v>
      </c>
      <c r="U1" s="657" t="s">
        <v>253</v>
      </c>
      <c r="V1" s="1" t="s">
        <v>254</v>
      </c>
    </row>
    <row r="2" spans="1:22" x14ac:dyDescent="0.2">
      <c r="A2" s="658" t="str">
        <f>'Template names'!C2</f>
        <v>Prior year -1</v>
      </c>
      <c r="B2" s="659" t="s">
        <v>255</v>
      </c>
      <c r="C2" s="659" t="s">
        <v>256</v>
      </c>
      <c r="D2" s="659" t="s">
        <v>257</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1291</v>
      </c>
      <c r="S2" s="660" t="s">
        <v>1301</v>
      </c>
      <c r="T2" s="660" t="s">
        <v>1303</v>
      </c>
      <c r="U2" s="660" t="s">
        <v>1310</v>
      </c>
      <c r="V2" s="660" t="s">
        <v>259</v>
      </c>
    </row>
    <row r="3" spans="1:22" x14ac:dyDescent="0.2">
      <c r="A3" s="658" t="str">
        <f>'Template names'!C3</f>
        <v>Prior year -2</v>
      </c>
      <c r="B3" s="661" t="s">
        <v>260</v>
      </c>
      <c r="C3" s="659" t="s">
        <v>255</v>
      </c>
      <c r="D3" s="659" t="s">
        <v>256</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1292</v>
      </c>
      <c r="S3" s="660" t="s">
        <v>1302</v>
      </c>
      <c r="T3" s="660" t="s">
        <v>1304</v>
      </c>
      <c r="U3" s="660" t="s">
        <v>1311</v>
      </c>
      <c r="V3" s="660" t="s">
        <v>547</v>
      </c>
    </row>
    <row r="4" spans="1:22" x14ac:dyDescent="0.2">
      <c r="A4" s="658" t="str">
        <f>'Template names'!C4</f>
        <v>Prior year -3</v>
      </c>
      <c r="B4" s="661" t="s">
        <v>262</v>
      </c>
      <c r="C4" s="659" t="s">
        <v>260</v>
      </c>
      <c r="D4" s="659" t="s">
        <v>255</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1293</v>
      </c>
      <c r="S4" s="660" t="s">
        <v>621</v>
      </c>
      <c r="T4" s="660" t="s">
        <v>1305</v>
      </c>
      <c r="U4" s="660" t="s">
        <v>622</v>
      </c>
    </row>
    <row r="5" spans="1:22" x14ac:dyDescent="0.2">
      <c r="A5" s="658" t="str">
        <f>'Template names'!C7</f>
        <v>MTREF header name</v>
      </c>
      <c r="B5" s="659" t="s">
        <v>263</v>
      </c>
      <c r="C5" s="659" t="s">
        <v>264</v>
      </c>
      <c r="D5" s="659" t="s">
        <v>265</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266</v>
      </c>
      <c r="S5" s="660" t="s">
        <v>267</v>
      </c>
      <c r="T5" s="660" t="s">
        <v>1306</v>
      </c>
      <c r="U5" s="660" t="s">
        <v>1312</v>
      </c>
    </row>
    <row r="6" spans="1:22" x14ac:dyDescent="0.2">
      <c r="A6" s="658" t="str">
        <f>'Template names'!C6</f>
        <v>Approved budget year</v>
      </c>
      <c r="B6" s="659" t="s">
        <v>256</v>
      </c>
      <c r="C6" s="659" t="s">
        <v>257</v>
      </c>
      <c r="D6" s="659" t="s">
        <v>258</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1294</v>
      </c>
      <c r="T6" s="660" t="s">
        <v>1307</v>
      </c>
      <c r="U6" s="660" t="s">
        <v>1313</v>
      </c>
    </row>
    <row r="7" spans="1:22" x14ac:dyDescent="0.2">
      <c r="A7" s="658" t="str">
        <f>'Template names'!C16</f>
        <v>1st year of MTREF</v>
      </c>
      <c r="B7" s="659" t="s">
        <v>268</v>
      </c>
      <c r="C7" s="659" t="s">
        <v>269</v>
      </c>
      <c r="D7" s="659" t="s">
        <v>270</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1295</v>
      </c>
      <c r="T7" s="660" t="s">
        <v>1308</v>
      </c>
      <c r="U7" s="660" t="s">
        <v>1314</v>
      </c>
    </row>
    <row r="8" spans="1:22" x14ac:dyDescent="0.2">
      <c r="A8" s="658" t="str">
        <f>'Template names'!C17</f>
        <v>2nd year of MTREF</v>
      </c>
      <c r="B8" s="659" t="s">
        <v>271</v>
      </c>
      <c r="C8" s="659" t="s">
        <v>272</v>
      </c>
      <c r="D8" s="659" t="s">
        <v>273</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1296</v>
      </c>
      <c r="T8" s="660" t="s">
        <v>1309</v>
      </c>
      <c r="U8" s="660" t="s">
        <v>267</v>
      </c>
    </row>
    <row r="9" spans="1:22" x14ac:dyDescent="0.2">
      <c r="A9" s="658" t="str">
        <f>'Template names'!C18</f>
        <v>3rd year of MTREF</v>
      </c>
      <c r="B9" s="659" t="s">
        <v>274</v>
      </c>
      <c r="C9" s="659" t="s">
        <v>275</v>
      </c>
      <c r="D9" s="659" t="s">
        <v>276</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1297</v>
      </c>
    </row>
    <row r="10" spans="1:22" x14ac:dyDescent="0.2">
      <c r="A10" s="664" t="s">
        <v>277</v>
      </c>
      <c r="B10" s="665" t="s">
        <v>278</v>
      </c>
      <c r="C10" s="665" t="s">
        <v>279</v>
      </c>
      <c r="D10" s="665" t="s">
        <v>280</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1298</v>
      </c>
    </row>
    <row r="11" spans="1:22" ht="18" x14ac:dyDescent="0.25">
      <c r="A11" s="667" t="s">
        <v>281</v>
      </c>
      <c r="R11" s="660" t="s">
        <v>1299</v>
      </c>
    </row>
    <row r="12" spans="1:22" x14ac:dyDescent="0.2">
      <c r="R12" s="660" t="s">
        <v>1300</v>
      </c>
    </row>
    <row r="15" spans="1:22" x14ac:dyDescent="0.2">
      <c r="R15" s="657" t="s">
        <v>1384</v>
      </c>
      <c r="S15" s="657" t="s">
        <v>1758</v>
      </c>
      <c r="T15" s="657" t="s">
        <v>1385</v>
      </c>
      <c r="U15" s="657" t="s">
        <v>1759</v>
      </c>
      <c r="V15" s="657" t="s">
        <v>1760</v>
      </c>
    </row>
    <row r="17" spans="1:22" x14ac:dyDescent="0.2">
      <c r="R17" s="660" t="s">
        <v>1591</v>
      </c>
      <c r="S17" s="660" t="s">
        <v>477</v>
      </c>
      <c r="T17" s="660" t="s">
        <v>1008</v>
      </c>
      <c r="U17" s="660" t="s">
        <v>1761</v>
      </c>
      <c r="V17" s="660" t="s">
        <v>1762</v>
      </c>
    </row>
    <row r="18" spans="1:22" x14ac:dyDescent="0.2">
      <c r="R18" s="660" t="s">
        <v>1595</v>
      </c>
      <c r="S18" s="660" t="s">
        <v>478</v>
      </c>
      <c r="T18" s="660" t="s">
        <v>1592</v>
      </c>
      <c r="U18" s="660" t="s">
        <v>1763</v>
      </c>
      <c r="V18" s="660" t="s">
        <v>1764</v>
      </c>
    </row>
    <row r="19" spans="1:22" x14ac:dyDescent="0.2">
      <c r="R19" s="660" t="s">
        <v>1599</v>
      </c>
      <c r="S19" s="660" t="s">
        <v>479</v>
      </c>
      <c r="T19" s="660" t="s">
        <v>1593</v>
      </c>
      <c r="U19" s="660" t="s">
        <v>1765</v>
      </c>
      <c r="V19" s="660" t="s">
        <v>1766</v>
      </c>
    </row>
    <row r="20" spans="1:22" x14ac:dyDescent="0.2">
      <c r="R20" s="660" t="s">
        <v>1608</v>
      </c>
      <c r="S20" s="660" t="s">
        <v>480</v>
      </c>
      <c r="T20" s="660" t="s">
        <v>1594</v>
      </c>
      <c r="U20" s="660" t="s">
        <v>1767</v>
      </c>
      <c r="V20" s="660" t="s">
        <v>1768</v>
      </c>
    </row>
    <row r="21" spans="1:22" x14ac:dyDescent="0.2">
      <c r="R21" s="660" t="s">
        <v>1618</v>
      </c>
      <c r="S21" s="660" t="s">
        <v>481</v>
      </c>
      <c r="T21" s="660" t="s">
        <v>1596</v>
      </c>
      <c r="V21" s="660" t="s">
        <v>1769</v>
      </c>
    </row>
    <row r="22" spans="1:22" x14ac:dyDescent="0.2">
      <c r="R22" s="660" t="s">
        <v>1623</v>
      </c>
      <c r="S22" s="660" t="s">
        <v>482</v>
      </c>
      <c r="T22" s="660" t="s">
        <v>1597</v>
      </c>
      <c r="V22" s="660" t="s">
        <v>1770</v>
      </c>
    </row>
    <row r="23" spans="1:22" x14ac:dyDescent="0.2">
      <c r="R23" s="660" t="s">
        <v>1630</v>
      </c>
      <c r="S23" s="660" t="s">
        <v>483</v>
      </c>
      <c r="T23" s="660" t="s">
        <v>1598</v>
      </c>
      <c r="V23" s="660" t="s">
        <v>1771</v>
      </c>
    </row>
    <row r="24" spans="1:22" x14ac:dyDescent="0.2">
      <c r="R24" s="660" t="s">
        <v>1634</v>
      </c>
      <c r="S24" s="660" t="s">
        <v>484</v>
      </c>
      <c r="T24" s="660" t="s">
        <v>1600</v>
      </c>
      <c r="V24" s="660" t="s">
        <v>1772</v>
      </c>
    </row>
    <row r="25" spans="1:22" x14ac:dyDescent="0.2">
      <c r="R25" s="660" t="s">
        <v>1639</v>
      </c>
      <c r="S25" s="660" t="s">
        <v>485</v>
      </c>
      <c r="T25" s="660" t="s">
        <v>1601</v>
      </c>
      <c r="V25" s="660" t="s">
        <v>1773</v>
      </c>
    </row>
    <row r="26" spans="1:22" x14ac:dyDescent="0.2">
      <c r="R26" s="660" t="s">
        <v>1644</v>
      </c>
      <c r="S26" s="660" t="s">
        <v>1388</v>
      </c>
      <c r="T26" s="660" t="s">
        <v>1602</v>
      </c>
      <c r="V26" s="660" t="s">
        <v>1774</v>
      </c>
    </row>
    <row r="27" spans="1:22" ht="12.75" x14ac:dyDescent="0.2">
      <c r="A27" s="826" t="s">
        <v>779</v>
      </c>
      <c r="B27" s="660">
        <v>131</v>
      </c>
      <c r="R27" s="660" t="s">
        <v>1662</v>
      </c>
      <c r="S27" s="660" t="s">
        <v>486</v>
      </c>
      <c r="T27" s="660" t="s">
        <v>1603</v>
      </c>
      <c r="V27" s="660" t="s">
        <v>1775</v>
      </c>
    </row>
    <row r="28" spans="1:22" x14ac:dyDescent="0.2">
      <c r="A28" s="660" t="s">
        <v>780</v>
      </c>
      <c r="B28" s="660" t="str">
        <f>INDEX(B29:B312,B27,1)</f>
        <v>LIM333 Greater Tzaneen</v>
      </c>
      <c r="R28" s="660" t="s">
        <v>773</v>
      </c>
      <c r="S28" s="660" t="s">
        <v>487</v>
      </c>
      <c r="T28" s="660" t="s">
        <v>1604</v>
      </c>
      <c r="V28" s="660" t="s">
        <v>1776</v>
      </c>
    </row>
    <row r="29" spans="1:22" ht="12.75" x14ac:dyDescent="0.2">
      <c r="B29" s="826" t="s">
        <v>781</v>
      </c>
      <c r="C29" s="660" t="s">
        <v>782</v>
      </c>
      <c r="R29" s="660" t="s">
        <v>1670</v>
      </c>
      <c r="S29" s="660" t="s">
        <v>488</v>
      </c>
      <c r="T29" s="660" t="s">
        <v>1605</v>
      </c>
      <c r="V29" s="660" t="s">
        <v>1777</v>
      </c>
    </row>
    <row r="30" spans="1:22" ht="12.75" x14ac:dyDescent="0.2">
      <c r="B30" s="1200" t="s">
        <v>1410</v>
      </c>
      <c r="C30" s="1342" t="s">
        <v>1797</v>
      </c>
      <c r="R30" s="660" t="s">
        <v>1673</v>
      </c>
      <c r="S30" s="660" t="s">
        <v>1389</v>
      </c>
      <c r="T30" s="660" t="s">
        <v>1606</v>
      </c>
      <c r="V30" s="660" t="s">
        <v>1778</v>
      </c>
    </row>
    <row r="31" spans="1:22" ht="12.75" x14ac:dyDescent="0.2">
      <c r="B31" s="1200" t="s">
        <v>1411</v>
      </c>
      <c r="C31" s="1343" t="s">
        <v>1797</v>
      </c>
      <c r="R31" s="660" t="s">
        <v>1674</v>
      </c>
      <c r="S31" s="660" t="s">
        <v>489</v>
      </c>
      <c r="T31" s="660" t="s">
        <v>1607</v>
      </c>
    </row>
    <row r="32" spans="1:22" ht="12.75" x14ac:dyDescent="0.2">
      <c r="B32" s="1200" t="s">
        <v>1798</v>
      </c>
      <c r="C32" s="1342" t="s">
        <v>1797</v>
      </c>
      <c r="R32" s="660" t="s">
        <v>621</v>
      </c>
      <c r="S32" s="660" t="s">
        <v>490</v>
      </c>
      <c r="T32" s="660" t="s">
        <v>1594</v>
      </c>
    </row>
    <row r="33" spans="2:20" ht="12.75" x14ac:dyDescent="0.2">
      <c r="B33" s="1200" t="s">
        <v>817</v>
      </c>
      <c r="C33" s="1342" t="s">
        <v>1797</v>
      </c>
      <c r="R33" s="660" t="s">
        <v>1687</v>
      </c>
      <c r="S33" s="660" t="s">
        <v>491</v>
      </c>
      <c r="T33" s="660" t="s">
        <v>1609</v>
      </c>
    </row>
    <row r="34" spans="2:20" ht="12.75" x14ac:dyDescent="0.2">
      <c r="B34" s="1200" t="s">
        <v>818</v>
      </c>
      <c r="C34" s="1342" t="s">
        <v>1797</v>
      </c>
      <c r="R34" s="660" t="s">
        <v>1689</v>
      </c>
      <c r="S34" s="660" t="s">
        <v>492</v>
      </c>
      <c r="T34" s="660" t="s">
        <v>1610</v>
      </c>
    </row>
    <row r="35" spans="2:20" ht="12.75" x14ac:dyDescent="0.2">
      <c r="B35" s="1200" t="s">
        <v>819</v>
      </c>
      <c r="C35" s="1342" t="s">
        <v>1797</v>
      </c>
      <c r="R35" s="660" t="s">
        <v>1690</v>
      </c>
      <c r="S35" s="660" t="s">
        <v>493</v>
      </c>
      <c r="T35" s="660" t="s">
        <v>1611</v>
      </c>
    </row>
    <row r="36" spans="2:20" ht="12.75" x14ac:dyDescent="0.2">
      <c r="B36" s="1200" t="s">
        <v>820</v>
      </c>
      <c r="C36" s="1342" t="s">
        <v>1797</v>
      </c>
      <c r="R36" s="660" t="s">
        <v>1697</v>
      </c>
      <c r="S36" s="660" t="s">
        <v>494</v>
      </c>
      <c r="T36" s="660" t="s">
        <v>1612</v>
      </c>
    </row>
    <row r="37" spans="2:20" ht="12.75" x14ac:dyDescent="0.2">
      <c r="B37" s="1200" t="s">
        <v>821</v>
      </c>
      <c r="C37" s="1343" t="s">
        <v>1797</v>
      </c>
      <c r="R37" s="660" t="s">
        <v>1698</v>
      </c>
      <c r="S37" s="660" t="s">
        <v>495</v>
      </c>
      <c r="T37" s="660" t="s">
        <v>1613</v>
      </c>
    </row>
    <row r="38" spans="2:20" ht="12.75" x14ac:dyDescent="0.2">
      <c r="B38" s="1200" t="s">
        <v>1279</v>
      </c>
      <c r="C38" s="1342" t="s">
        <v>1797</v>
      </c>
      <c r="R38" s="660" t="s">
        <v>1699</v>
      </c>
      <c r="S38" s="660" t="s">
        <v>496</v>
      </c>
      <c r="T38" s="660" t="s">
        <v>1614</v>
      </c>
    </row>
    <row r="39" spans="2:20" ht="12.75" x14ac:dyDescent="0.2">
      <c r="B39" s="1200" t="s">
        <v>1442</v>
      </c>
      <c r="C39" s="1203" t="s">
        <v>1797</v>
      </c>
      <c r="R39" s="660" t="s">
        <v>1700</v>
      </c>
      <c r="S39" s="660" t="s">
        <v>497</v>
      </c>
      <c r="T39" s="660" t="s">
        <v>1615</v>
      </c>
    </row>
    <row r="40" spans="2:20" ht="12.75" x14ac:dyDescent="0.2">
      <c r="B40" s="1200" t="s">
        <v>822</v>
      </c>
      <c r="C40" s="1203" t="s">
        <v>1797</v>
      </c>
      <c r="R40" s="660" t="s">
        <v>1757</v>
      </c>
      <c r="S40" s="660" t="s">
        <v>498</v>
      </c>
      <c r="T40" s="660" t="s">
        <v>1616</v>
      </c>
    </row>
    <row r="41" spans="2:20" ht="12.75" x14ac:dyDescent="0.2">
      <c r="B41" s="1200" t="s">
        <v>823</v>
      </c>
      <c r="C41" s="1344" t="s">
        <v>1797</v>
      </c>
      <c r="R41" s="660" t="s">
        <v>1701</v>
      </c>
      <c r="S41" s="660" t="s">
        <v>499</v>
      </c>
      <c r="T41" s="660" t="s">
        <v>1617</v>
      </c>
    </row>
    <row r="42" spans="2:20" ht="12.75" x14ac:dyDescent="0.2">
      <c r="B42" s="1200" t="s">
        <v>824</v>
      </c>
      <c r="C42" s="1344" t="s">
        <v>1797</v>
      </c>
      <c r="S42" s="660" t="s">
        <v>500</v>
      </c>
      <c r="T42" s="660" t="s">
        <v>1594</v>
      </c>
    </row>
    <row r="43" spans="2:20" ht="12.75" x14ac:dyDescent="0.2">
      <c r="B43" s="1200" t="s">
        <v>825</v>
      </c>
      <c r="C43" s="1344" t="s">
        <v>1797</v>
      </c>
      <c r="S43" s="660" t="s">
        <v>501</v>
      </c>
      <c r="T43" s="660" t="s">
        <v>1619</v>
      </c>
    </row>
    <row r="44" spans="2:20" ht="12.75" x14ac:dyDescent="0.2">
      <c r="B44" s="1200" t="s">
        <v>826</v>
      </c>
      <c r="C44" s="1344" t="s">
        <v>1797</v>
      </c>
      <c r="S44" s="660" t="s">
        <v>503</v>
      </c>
      <c r="T44" s="660" t="s">
        <v>484</v>
      </c>
    </row>
    <row r="45" spans="2:20" ht="12.75" x14ac:dyDescent="0.2">
      <c r="B45" s="1201" t="s">
        <v>1484</v>
      </c>
      <c r="C45" s="1344" t="s">
        <v>1797</v>
      </c>
      <c r="S45" s="660" t="s">
        <v>1390</v>
      </c>
      <c r="T45" s="660" t="s">
        <v>1620</v>
      </c>
    </row>
    <row r="46" spans="2:20" ht="12.75" x14ac:dyDescent="0.2">
      <c r="B46" s="1200" t="s">
        <v>784</v>
      </c>
      <c r="C46" s="1344" t="s">
        <v>1797</v>
      </c>
      <c r="S46" s="660" t="s">
        <v>1391</v>
      </c>
      <c r="T46" s="660" t="s">
        <v>1621</v>
      </c>
    </row>
    <row r="47" spans="2:20" ht="12.75" x14ac:dyDescent="0.2">
      <c r="B47" s="1200" t="s">
        <v>827</v>
      </c>
      <c r="C47" s="1344" t="s">
        <v>1797</v>
      </c>
      <c r="S47" s="660" t="s">
        <v>1392</v>
      </c>
      <c r="T47" s="660" t="s">
        <v>1622</v>
      </c>
    </row>
    <row r="48" spans="2:20" ht="12.75" x14ac:dyDescent="0.2">
      <c r="B48" s="1200" t="s">
        <v>828</v>
      </c>
      <c r="C48" s="1344" t="s">
        <v>1797</v>
      </c>
      <c r="S48" s="660" t="s">
        <v>1393</v>
      </c>
      <c r="T48" s="660" t="s">
        <v>1594</v>
      </c>
    </row>
    <row r="49" spans="2:20" ht="12.75" x14ac:dyDescent="0.2">
      <c r="B49" s="1200" t="s">
        <v>829</v>
      </c>
      <c r="C49" s="1344" t="s">
        <v>1797</v>
      </c>
      <c r="S49" s="660" t="s">
        <v>504</v>
      </c>
      <c r="T49" s="660" t="s">
        <v>1624</v>
      </c>
    </row>
    <row r="50" spans="2:20" ht="12.75" x14ac:dyDescent="0.2">
      <c r="B50" s="1200" t="s">
        <v>830</v>
      </c>
      <c r="C50" s="1344" t="s">
        <v>1797</v>
      </c>
      <c r="S50" s="660" t="s">
        <v>505</v>
      </c>
      <c r="T50" s="660" t="s">
        <v>1625</v>
      </c>
    </row>
    <row r="51" spans="2:20" ht="12.75" x14ac:dyDescent="0.2">
      <c r="B51" s="1200" t="s">
        <v>831</v>
      </c>
      <c r="C51" s="1203" t="s">
        <v>1797</v>
      </c>
      <c r="S51" s="660" t="s">
        <v>506</v>
      </c>
      <c r="T51" s="660" t="s">
        <v>1626</v>
      </c>
    </row>
    <row r="52" spans="2:20" ht="12.75" x14ac:dyDescent="0.2">
      <c r="B52" s="1201" t="s">
        <v>1485</v>
      </c>
      <c r="C52" s="1203" t="s">
        <v>1797</v>
      </c>
      <c r="S52" s="660" t="s">
        <v>507</v>
      </c>
      <c r="T52" s="660" t="s">
        <v>1627</v>
      </c>
    </row>
    <row r="53" spans="2:20" ht="12.75" x14ac:dyDescent="0.2">
      <c r="B53" s="1200" t="s">
        <v>785</v>
      </c>
      <c r="C53" s="1203" t="s">
        <v>1797</v>
      </c>
      <c r="S53" s="660" t="s">
        <v>508</v>
      </c>
      <c r="T53" s="660" t="s">
        <v>1628</v>
      </c>
    </row>
    <row r="54" spans="2:20" ht="12.75" x14ac:dyDescent="0.2">
      <c r="B54" s="1200" t="s">
        <v>832</v>
      </c>
      <c r="C54" s="1203" t="s">
        <v>1797</v>
      </c>
      <c r="S54" s="660" t="s">
        <v>509</v>
      </c>
      <c r="T54" s="660" t="s">
        <v>1629</v>
      </c>
    </row>
    <row r="55" spans="2:20" ht="12.75" x14ac:dyDescent="0.2">
      <c r="B55" s="1200" t="s">
        <v>833</v>
      </c>
      <c r="C55" s="1203" t="s">
        <v>1797</v>
      </c>
      <c r="S55" s="660" t="s">
        <v>510</v>
      </c>
      <c r="T55" s="660" t="s">
        <v>1594</v>
      </c>
    </row>
    <row r="56" spans="2:20" ht="12.75" x14ac:dyDescent="0.2">
      <c r="B56" s="1201" t="s">
        <v>1486</v>
      </c>
      <c r="C56" s="1203" t="s">
        <v>1797</v>
      </c>
      <c r="S56" s="660" t="s">
        <v>511</v>
      </c>
      <c r="T56" s="660" t="s">
        <v>1631</v>
      </c>
    </row>
    <row r="57" spans="2:20" ht="12.75" x14ac:dyDescent="0.2">
      <c r="B57" s="1200" t="s">
        <v>1277</v>
      </c>
      <c r="C57" s="1203" t="s">
        <v>1797</v>
      </c>
      <c r="S57" s="660" t="s">
        <v>512</v>
      </c>
      <c r="T57" s="660" t="s">
        <v>1632</v>
      </c>
    </row>
    <row r="58" spans="2:20" ht="12.75" x14ac:dyDescent="0.2">
      <c r="B58" s="1200" t="s">
        <v>834</v>
      </c>
      <c r="C58" s="707" t="s">
        <v>1797</v>
      </c>
      <c r="S58" s="660" t="s">
        <v>513</v>
      </c>
      <c r="T58" s="660" t="s">
        <v>1633</v>
      </c>
    </row>
    <row r="59" spans="2:20" ht="12.75" x14ac:dyDescent="0.2">
      <c r="B59" s="1200" t="s">
        <v>835</v>
      </c>
      <c r="C59" s="707" t="s">
        <v>1797</v>
      </c>
      <c r="S59" s="660" t="s">
        <v>632</v>
      </c>
      <c r="T59" s="660" t="s">
        <v>1596</v>
      </c>
    </row>
    <row r="60" spans="2:20" ht="12.75" x14ac:dyDescent="0.2">
      <c r="B60" s="1200" t="s">
        <v>836</v>
      </c>
      <c r="C60" s="1203" t="s">
        <v>1797</v>
      </c>
      <c r="T60" s="660" t="s">
        <v>1597</v>
      </c>
    </row>
    <row r="61" spans="2:20" ht="12.75" x14ac:dyDescent="0.2">
      <c r="B61" s="1200" t="s">
        <v>837</v>
      </c>
      <c r="C61" s="1203" t="s">
        <v>1797</v>
      </c>
      <c r="R61" s="657" t="s">
        <v>1399</v>
      </c>
      <c r="S61" s="1032"/>
      <c r="T61" s="660" t="s">
        <v>1598</v>
      </c>
    </row>
    <row r="62" spans="2:20" ht="12.75" x14ac:dyDescent="0.2">
      <c r="B62" s="1200" t="s">
        <v>838</v>
      </c>
      <c r="C62" s="1203" t="s">
        <v>1797</v>
      </c>
      <c r="R62" s="660" t="s">
        <v>259</v>
      </c>
      <c r="S62" s="1033"/>
      <c r="T62" s="660" t="s">
        <v>1604</v>
      </c>
    </row>
    <row r="63" spans="2:20" ht="12.75" x14ac:dyDescent="0.2">
      <c r="B63" s="1200" t="s">
        <v>786</v>
      </c>
      <c r="C63" s="1203" t="s">
        <v>1797</v>
      </c>
      <c r="R63" s="660" t="s">
        <v>547</v>
      </c>
      <c r="S63" s="1034"/>
      <c r="T63" s="660" t="s">
        <v>1607</v>
      </c>
    </row>
    <row r="64" spans="2:20" ht="12.75" x14ac:dyDescent="0.2">
      <c r="B64" s="1200" t="s">
        <v>839</v>
      </c>
      <c r="C64" s="1344" t="s">
        <v>1797</v>
      </c>
      <c r="R64" s="1017"/>
      <c r="S64" s="1034"/>
      <c r="T64" s="660" t="s">
        <v>1594</v>
      </c>
    </row>
    <row r="65" spans="2:20" ht="12.75" x14ac:dyDescent="0.2">
      <c r="B65" s="1200" t="s">
        <v>840</v>
      </c>
      <c r="C65" s="1203" t="s">
        <v>1797</v>
      </c>
      <c r="T65" s="660" t="s">
        <v>1635</v>
      </c>
    </row>
    <row r="66" spans="2:20" ht="12.75" x14ac:dyDescent="0.2">
      <c r="B66" s="1200" t="s">
        <v>1405</v>
      </c>
      <c r="C66" s="1203" t="s">
        <v>1797</v>
      </c>
      <c r="T66" s="660" t="s">
        <v>1636</v>
      </c>
    </row>
    <row r="67" spans="2:20" ht="12.75" x14ac:dyDescent="0.2">
      <c r="B67" s="1200" t="s">
        <v>1406</v>
      </c>
      <c r="C67" s="1203" t="s">
        <v>1797</v>
      </c>
      <c r="T67" s="660" t="s">
        <v>1637</v>
      </c>
    </row>
    <row r="68" spans="2:20" ht="12.75" x14ac:dyDescent="0.2">
      <c r="B68" s="1200" t="s">
        <v>812</v>
      </c>
      <c r="C68" s="1203" t="s">
        <v>1797</v>
      </c>
      <c r="T68" s="660" t="s">
        <v>1638</v>
      </c>
    </row>
    <row r="69" spans="2:20" ht="12.75" x14ac:dyDescent="0.2">
      <c r="B69" s="1200" t="s">
        <v>1412</v>
      </c>
      <c r="C69" s="1203" t="s">
        <v>1799</v>
      </c>
      <c r="T69" s="660" t="s">
        <v>1594</v>
      </c>
    </row>
    <row r="70" spans="2:20" ht="12.75" x14ac:dyDescent="0.2">
      <c r="B70" s="1200" t="s">
        <v>841</v>
      </c>
      <c r="C70" s="1203" t="s">
        <v>1799</v>
      </c>
      <c r="T70" s="660" t="s">
        <v>1640</v>
      </c>
    </row>
    <row r="71" spans="2:20" ht="12.75" x14ac:dyDescent="0.2">
      <c r="B71" s="1200" t="s">
        <v>842</v>
      </c>
      <c r="C71" s="1203" t="s">
        <v>1799</v>
      </c>
      <c r="T71" s="660" t="s">
        <v>1641</v>
      </c>
    </row>
    <row r="72" spans="2:20" ht="12.75" x14ac:dyDescent="0.2">
      <c r="B72" s="1200" t="s">
        <v>843</v>
      </c>
      <c r="C72" s="1203" t="s">
        <v>1799</v>
      </c>
      <c r="T72" s="660" t="s">
        <v>1642</v>
      </c>
    </row>
    <row r="73" spans="2:20" ht="12.75" x14ac:dyDescent="0.2">
      <c r="B73" s="1200" t="s">
        <v>787</v>
      </c>
      <c r="C73" s="1203" t="s">
        <v>1799</v>
      </c>
      <c r="T73" s="660" t="s">
        <v>1594</v>
      </c>
    </row>
    <row r="74" spans="2:20" ht="12.75" x14ac:dyDescent="0.2">
      <c r="B74" s="1200" t="s">
        <v>844</v>
      </c>
      <c r="C74" s="1203" t="s">
        <v>1799</v>
      </c>
      <c r="T74" s="660" t="s">
        <v>1645</v>
      </c>
    </row>
    <row r="75" spans="2:20" ht="12.75" x14ac:dyDescent="0.2">
      <c r="B75" s="1200" t="s">
        <v>845</v>
      </c>
      <c r="C75" s="1203" t="s">
        <v>1799</v>
      </c>
      <c r="T75" s="660" t="s">
        <v>1646</v>
      </c>
    </row>
    <row r="76" spans="2:20" ht="12.75" x14ac:dyDescent="0.2">
      <c r="B76" s="1200" t="s">
        <v>846</v>
      </c>
      <c r="C76" s="1203" t="s">
        <v>1799</v>
      </c>
      <c r="T76" s="660" t="s">
        <v>1647</v>
      </c>
    </row>
    <row r="77" spans="2:20" ht="12.75" x14ac:dyDescent="0.2">
      <c r="B77" s="1200" t="s">
        <v>847</v>
      </c>
      <c r="C77" s="1203" t="s">
        <v>1799</v>
      </c>
      <c r="T77" s="660" t="s">
        <v>1648</v>
      </c>
    </row>
    <row r="78" spans="2:20" ht="12.75" x14ac:dyDescent="0.2">
      <c r="B78" s="1200" t="s">
        <v>848</v>
      </c>
      <c r="C78" s="1203" t="s">
        <v>1799</v>
      </c>
      <c r="T78" s="660" t="s">
        <v>1649</v>
      </c>
    </row>
    <row r="79" spans="2:20" ht="12.75" x14ac:dyDescent="0.2">
      <c r="B79" s="1200" t="s">
        <v>788</v>
      </c>
      <c r="C79" s="1203" t="s">
        <v>1799</v>
      </c>
      <c r="T79" s="660" t="s">
        <v>1650</v>
      </c>
    </row>
    <row r="80" spans="2:20" ht="12.75" x14ac:dyDescent="0.2">
      <c r="B80" s="1200" t="s">
        <v>849</v>
      </c>
      <c r="C80" s="1203" t="s">
        <v>1799</v>
      </c>
      <c r="T80" s="660" t="s">
        <v>1651</v>
      </c>
    </row>
    <row r="81" spans="2:20" ht="12.75" x14ac:dyDescent="0.2">
      <c r="B81" s="1200" t="s">
        <v>850</v>
      </c>
      <c r="C81" s="1203" t="s">
        <v>1799</v>
      </c>
      <c r="T81" s="660" t="s">
        <v>1652</v>
      </c>
    </row>
    <row r="82" spans="2:20" ht="12.75" x14ac:dyDescent="0.2">
      <c r="B82" s="1200" t="s">
        <v>851</v>
      </c>
      <c r="C82" s="1203" t="s">
        <v>1799</v>
      </c>
      <c r="T82" s="660" t="s">
        <v>1532</v>
      </c>
    </row>
    <row r="83" spans="2:20" ht="12.75" x14ac:dyDescent="0.2">
      <c r="B83" s="1200" t="s">
        <v>852</v>
      </c>
      <c r="C83" s="1203" t="s">
        <v>1799</v>
      </c>
      <c r="T83" s="660" t="s">
        <v>491</v>
      </c>
    </row>
    <row r="84" spans="2:20" ht="12.75" x14ac:dyDescent="0.2">
      <c r="B84" s="1200" t="s">
        <v>853</v>
      </c>
      <c r="C84" s="1203" t="s">
        <v>1799</v>
      </c>
      <c r="T84" s="660" t="s">
        <v>1653</v>
      </c>
    </row>
    <row r="85" spans="2:20" ht="12.75" x14ac:dyDescent="0.2">
      <c r="B85" s="1200" t="s">
        <v>1407</v>
      </c>
      <c r="C85" s="1203" t="s">
        <v>1799</v>
      </c>
      <c r="T85" s="660" t="s">
        <v>1654</v>
      </c>
    </row>
    <row r="86" spans="2:20" ht="12.75" x14ac:dyDescent="0.2">
      <c r="B86" s="1200" t="s">
        <v>789</v>
      </c>
      <c r="C86" s="1203" t="s">
        <v>1799</v>
      </c>
      <c r="T86" s="660" t="s">
        <v>1655</v>
      </c>
    </row>
    <row r="87" spans="2:20" ht="12.75" x14ac:dyDescent="0.2">
      <c r="B87" s="1200" t="s">
        <v>854</v>
      </c>
      <c r="C87" s="1203" t="s">
        <v>1799</v>
      </c>
      <c r="T87" s="660" t="s">
        <v>1656</v>
      </c>
    </row>
    <row r="88" spans="2:20" ht="12.75" x14ac:dyDescent="0.2">
      <c r="B88" s="1200" t="s">
        <v>855</v>
      </c>
      <c r="C88" s="1203" t="s">
        <v>1799</v>
      </c>
      <c r="T88" s="660" t="s">
        <v>1657</v>
      </c>
    </row>
    <row r="89" spans="2:20" ht="12.75" x14ac:dyDescent="0.2">
      <c r="B89" s="1200" t="s">
        <v>856</v>
      </c>
      <c r="C89" s="1203" t="s">
        <v>1799</v>
      </c>
      <c r="T89" s="660" t="s">
        <v>1658</v>
      </c>
    </row>
    <row r="90" spans="2:20" ht="12.75" x14ac:dyDescent="0.2">
      <c r="B90" s="1200" t="s">
        <v>857</v>
      </c>
      <c r="C90" s="1203" t="s">
        <v>1799</v>
      </c>
      <c r="T90" s="660" t="s">
        <v>508</v>
      </c>
    </row>
    <row r="91" spans="2:20" ht="12.75" x14ac:dyDescent="0.2">
      <c r="B91" s="1200" t="s">
        <v>790</v>
      </c>
      <c r="C91" s="1203" t="s">
        <v>1799</v>
      </c>
      <c r="T91" s="660" t="s">
        <v>1659</v>
      </c>
    </row>
    <row r="92" spans="2:20" ht="12.75" x14ac:dyDescent="0.2">
      <c r="B92" s="1200" t="s">
        <v>1800</v>
      </c>
      <c r="C92" s="1203" t="s">
        <v>1801</v>
      </c>
      <c r="T92" s="660" t="s">
        <v>507</v>
      </c>
    </row>
    <row r="93" spans="2:20" ht="12.75" x14ac:dyDescent="0.2">
      <c r="B93" s="1200" t="s">
        <v>1413</v>
      </c>
      <c r="C93" s="1203" t="s">
        <v>1801</v>
      </c>
      <c r="T93" s="660" t="s">
        <v>1660</v>
      </c>
    </row>
    <row r="94" spans="2:20" ht="12.75" x14ac:dyDescent="0.2">
      <c r="B94" s="1200" t="s">
        <v>1414</v>
      </c>
      <c r="C94" s="1203" t="s">
        <v>1801</v>
      </c>
      <c r="T94" s="660" t="s">
        <v>1661</v>
      </c>
    </row>
    <row r="95" spans="2:20" ht="12.75" x14ac:dyDescent="0.2">
      <c r="B95" s="1200" t="s">
        <v>858</v>
      </c>
      <c r="C95" s="1203" t="s">
        <v>1801</v>
      </c>
      <c r="T95" s="660" t="s">
        <v>1594</v>
      </c>
    </row>
    <row r="96" spans="2:20" ht="12.75" x14ac:dyDescent="0.2">
      <c r="B96" s="1200" t="s">
        <v>859</v>
      </c>
      <c r="C96" s="1203" t="s">
        <v>1801</v>
      </c>
      <c r="T96" s="660" t="s">
        <v>1663</v>
      </c>
    </row>
    <row r="97" spans="2:20" ht="12.75" x14ac:dyDescent="0.2">
      <c r="B97" s="1200" t="s">
        <v>860</v>
      </c>
      <c r="C97" s="1203" t="s">
        <v>1801</v>
      </c>
      <c r="T97" s="660" t="s">
        <v>1664</v>
      </c>
    </row>
    <row r="98" spans="2:20" ht="12.75" x14ac:dyDescent="0.2">
      <c r="B98" s="1200" t="s">
        <v>811</v>
      </c>
      <c r="C98" s="1203" t="s">
        <v>1801</v>
      </c>
      <c r="T98" s="660" t="s">
        <v>1594</v>
      </c>
    </row>
    <row r="99" spans="2:20" ht="12.75" x14ac:dyDescent="0.2">
      <c r="B99" s="1200" t="s">
        <v>861</v>
      </c>
      <c r="C99" s="1203" t="s">
        <v>1801</v>
      </c>
      <c r="T99" s="660" t="s">
        <v>1665</v>
      </c>
    </row>
    <row r="100" spans="2:20" ht="12.75" x14ac:dyDescent="0.2">
      <c r="B100" s="1200" t="s">
        <v>1280</v>
      </c>
      <c r="C100" s="1203" t="s">
        <v>1801</v>
      </c>
      <c r="T100" s="660" t="s">
        <v>1666</v>
      </c>
    </row>
    <row r="101" spans="2:20" ht="12.75" x14ac:dyDescent="0.2">
      <c r="B101" s="1201" t="s">
        <v>1802</v>
      </c>
      <c r="C101" s="1203" t="s">
        <v>1801</v>
      </c>
      <c r="T101" s="660" t="s">
        <v>1667</v>
      </c>
    </row>
    <row r="102" spans="2:20" ht="12.75" x14ac:dyDescent="0.2">
      <c r="B102" s="1200" t="s">
        <v>813</v>
      </c>
      <c r="C102" s="1203" t="s">
        <v>1801</v>
      </c>
      <c r="T102" s="660" t="s">
        <v>1668</v>
      </c>
    </row>
    <row r="103" spans="2:20" ht="12.75" x14ac:dyDescent="0.2">
      <c r="B103" s="1200" t="s">
        <v>1415</v>
      </c>
      <c r="C103" s="1203" t="s">
        <v>1803</v>
      </c>
      <c r="T103" s="660" t="s">
        <v>1669</v>
      </c>
    </row>
    <row r="104" spans="2:20" ht="12.75" x14ac:dyDescent="0.2">
      <c r="B104" s="1200" t="s">
        <v>862</v>
      </c>
      <c r="C104" s="1203" t="s">
        <v>1803</v>
      </c>
      <c r="T104" s="660" t="s">
        <v>1671</v>
      </c>
    </row>
    <row r="105" spans="2:20" ht="12.75" x14ac:dyDescent="0.2">
      <c r="B105" s="1200" t="s">
        <v>863</v>
      </c>
      <c r="C105" s="1342" t="s">
        <v>1803</v>
      </c>
      <c r="T105" s="660" t="s">
        <v>1672</v>
      </c>
    </row>
    <row r="106" spans="2:20" ht="12.75" x14ac:dyDescent="0.2">
      <c r="B106" s="1200" t="s">
        <v>864</v>
      </c>
      <c r="C106" s="1342" t="s">
        <v>1803</v>
      </c>
      <c r="T106" s="660" t="s">
        <v>1675</v>
      </c>
    </row>
    <row r="107" spans="2:20" ht="12.75" x14ac:dyDescent="0.2">
      <c r="B107" s="1200" t="s">
        <v>1492</v>
      </c>
      <c r="C107" s="1342" t="s">
        <v>1803</v>
      </c>
      <c r="T107" s="660" t="s">
        <v>1676</v>
      </c>
    </row>
    <row r="108" spans="2:20" ht="12.75" x14ac:dyDescent="0.2">
      <c r="B108" s="1200" t="s">
        <v>791</v>
      </c>
      <c r="C108" s="1342" t="s">
        <v>1803</v>
      </c>
      <c r="T108" s="660" t="s">
        <v>1677</v>
      </c>
    </row>
    <row r="109" spans="2:20" ht="12.75" x14ac:dyDescent="0.2">
      <c r="B109" s="1200" t="s">
        <v>865</v>
      </c>
      <c r="C109" s="1342" t="s">
        <v>1803</v>
      </c>
      <c r="T109" s="660" t="s">
        <v>1678</v>
      </c>
    </row>
    <row r="110" spans="2:20" ht="12.75" x14ac:dyDescent="0.2">
      <c r="B110" s="1200" t="s">
        <v>866</v>
      </c>
      <c r="C110" s="1342" t="s">
        <v>1803</v>
      </c>
      <c r="T110" s="660" t="s">
        <v>1679</v>
      </c>
    </row>
    <row r="111" spans="2:20" ht="12.75" x14ac:dyDescent="0.2">
      <c r="B111" s="1200" t="s">
        <v>867</v>
      </c>
      <c r="C111" s="1342" t="s">
        <v>1803</v>
      </c>
      <c r="T111" s="660" t="s">
        <v>1680</v>
      </c>
    </row>
    <row r="112" spans="2:20" ht="12.75" x14ac:dyDescent="0.2">
      <c r="B112" s="1200" t="s">
        <v>868</v>
      </c>
      <c r="C112" s="1342" t="s">
        <v>1803</v>
      </c>
      <c r="T112" s="660" t="s">
        <v>1681</v>
      </c>
    </row>
    <row r="113" spans="2:20" ht="12.75" x14ac:dyDescent="0.2">
      <c r="B113" s="1200" t="s">
        <v>869</v>
      </c>
      <c r="C113" s="1342" t="s">
        <v>1803</v>
      </c>
      <c r="T113" s="660" t="s">
        <v>1682</v>
      </c>
    </row>
    <row r="114" spans="2:20" ht="12.75" x14ac:dyDescent="0.2">
      <c r="B114" s="1200" t="s">
        <v>870</v>
      </c>
      <c r="C114" s="1342" t="s">
        <v>1803</v>
      </c>
      <c r="T114" s="660" t="s">
        <v>1683</v>
      </c>
    </row>
    <row r="115" spans="2:20" ht="12.75" x14ac:dyDescent="0.2">
      <c r="B115" s="1200" t="s">
        <v>871</v>
      </c>
      <c r="C115" s="1342" t="s">
        <v>1803</v>
      </c>
      <c r="T115" s="660" t="s">
        <v>1684</v>
      </c>
    </row>
    <row r="116" spans="2:20" ht="12.75" x14ac:dyDescent="0.2">
      <c r="B116" s="1200" t="s">
        <v>792</v>
      </c>
      <c r="C116" s="1342" t="s">
        <v>1803</v>
      </c>
      <c r="T116" s="660" t="s">
        <v>1594</v>
      </c>
    </row>
    <row r="117" spans="2:20" ht="12.75" x14ac:dyDescent="0.2">
      <c r="B117" s="1200" t="s">
        <v>872</v>
      </c>
      <c r="C117" s="1342" t="s">
        <v>1803</v>
      </c>
      <c r="T117" s="660" t="s">
        <v>1685</v>
      </c>
    </row>
    <row r="118" spans="2:20" ht="12.75" x14ac:dyDescent="0.2">
      <c r="B118" s="1201" t="s">
        <v>1487</v>
      </c>
      <c r="C118" s="1342" t="s">
        <v>1803</v>
      </c>
      <c r="T118" s="660" t="s">
        <v>1686</v>
      </c>
    </row>
    <row r="119" spans="2:20" ht="12.75" x14ac:dyDescent="0.2">
      <c r="B119" s="1201" t="s">
        <v>1488</v>
      </c>
      <c r="C119" s="1342" t="s">
        <v>1803</v>
      </c>
      <c r="T119" s="660" t="s">
        <v>1594</v>
      </c>
    </row>
    <row r="120" spans="2:20" ht="12.75" x14ac:dyDescent="0.2">
      <c r="B120" s="1200" t="s">
        <v>793</v>
      </c>
      <c r="C120" s="1342" t="s">
        <v>1803</v>
      </c>
      <c r="T120" s="660" t="s">
        <v>1691</v>
      </c>
    </row>
    <row r="121" spans="2:20" ht="12.75" x14ac:dyDescent="0.2">
      <c r="B121" s="1200" t="s">
        <v>873</v>
      </c>
      <c r="C121" s="1342" t="s">
        <v>1803</v>
      </c>
      <c r="T121" s="660" t="s">
        <v>1692</v>
      </c>
    </row>
    <row r="122" spans="2:20" ht="12.75" x14ac:dyDescent="0.2">
      <c r="B122" s="1200" t="s">
        <v>874</v>
      </c>
      <c r="C122" s="1342" t="s">
        <v>1803</v>
      </c>
      <c r="T122" s="660" t="s">
        <v>1693</v>
      </c>
    </row>
    <row r="123" spans="2:20" ht="12.75" x14ac:dyDescent="0.2">
      <c r="B123" s="1200" t="s">
        <v>875</v>
      </c>
      <c r="C123" s="1342" t="s">
        <v>1803</v>
      </c>
      <c r="T123" s="660" t="s">
        <v>1694</v>
      </c>
    </row>
    <row r="124" spans="2:20" ht="12.75" x14ac:dyDescent="0.2">
      <c r="B124" s="1200" t="s">
        <v>876</v>
      </c>
      <c r="C124" s="1342" t="s">
        <v>1803</v>
      </c>
      <c r="T124" s="660" t="s">
        <v>1695</v>
      </c>
    </row>
    <row r="125" spans="2:20" ht="12.75" x14ac:dyDescent="0.2">
      <c r="B125" s="1200" t="s">
        <v>794</v>
      </c>
      <c r="C125" s="1203" t="s">
        <v>1803</v>
      </c>
      <c r="T125" s="660" t="s">
        <v>1696</v>
      </c>
    </row>
    <row r="126" spans="2:20" ht="12.75" x14ac:dyDescent="0.2">
      <c r="B126" s="1200" t="s">
        <v>877</v>
      </c>
      <c r="C126" s="1203" t="s">
        <v>1803</v>
      </c>
    </row>
    <row r="127" spans="2:20" ht="12.75" x14ac:dyDescent="0.2">
      <c r="B127" s="1200" t="s">
        <v>1804</v>
      </c>
      <c r="C127" s="1203" t="s">
        <v>1803</v>
      </c>
    </row>
    <row r="128" spans="2:20" ht="12.75" x14ac:dyDescent="0.2">
      <c r="B128" s="1200" t="s">
        <v>878</v>
      </c>
      <c r="C128" s="1203" t="s">
        <v>1803</v>
      </c>
    </row>
    <row r="129" spans="2:3" ht="12.75" x14ac:dyDescent="0.2">
      <c r="B129" s="1200" t="s">
        <v>795</v>
      </c>
      <c r="C129" s="1203" t="s">
        <v>1803</v>
      </c>
    </row>
    <row r="130" spans="2:3" ht="12.75" x14ac:dyDescent="0.2">
      <c r="B130" s="1200" t="s">
        <v>879</v>
      </c>
      <c r="C130" s="1203" t="s">
        <v>1803</v>
      </c>
    </row>
    <row r="131" spans="2:3" ht="12.75" x14ac:dyDescent="0.2">
      <c r="B131" s="1200" t="s">
        <v>880</v>
      </c>
      <c r="C131" s="1203" t="s">
        <v>1803</v>
      </c>
    </row>
    <row r="132" spans="2:3" ht="12.75" x14ac:dyDescent="0.2">
      <c r="B132" s="1200" t="s">
        <v>881</v>
      </c>
      <c r="C132" s="1203" t="s">
        <v>1803</v>
      </c>
    </row>
    <row r="133" spans="2:3" ht="12.75" x14ac:dyDescent="0.2">
      <c r="B133" s="1200" t="s">
        <v>882</v>
      </c>
      <c r="C133" s="1203" t="s">
        <v>1803</v>
      </c>
    </row>
    <row r="134" spans="2:3" ht="12.75" x14ac:dyDescent="0.2">
      <c r="B134" s="1200" t="s">
        <v>883</v>
      </c>
      <c r="C134" s="1203" t="s">
        <v>1803</v>
      </c>
    </row>
    <row r="135" spans="2:3" ht="12.75" x14ac:dyDescent="0.2">
      <c r="B135" s="1200" t="s">
        <v>796</v>
      </c>
      <c r="C135" s="1344" t="s">
        <v>1803</v>
      </c>
    </row>
    <row r="136" spans="2:3" ht="12.75" x14ac:dyDescent="0.2">
      <c r="B136" s="1200" t="s">
        <v>884</v>
      </c>
      <c r="C136" s="1344" t="s">
        <v>1803</v>
      </c>
    </row>
    <row r="137" spans="2:3" ht="12.75" x14ac:dyDescent="0.2">
      <c r="B137" s="1200" t="s">
        <v>885</v>
      </c>
      <c r="C137" s="1344" t="s">
        <v>1803</v>
      </c>
    </row>
    <row r="138" spans="2:3" ht="12.75" x14ac:dyDescent="0.2">
      <c r="B138" s="1200" t="s">
        <v>886</v>
      </c>
      <c r="C138" s="1344" t="s">
        <v>1803</v>
      </c>
    </row>
    <row r="139" spans="2:3" ht="12.75" x14ac:dyDescent="0.2">
      <c r="B139" s="1201" t="s">
        <v>1805</v>
      </c>
      <c r="C139" s="1344" t="s">
        <v>1803</v>
      </c>
    </row>
    <row r="140" spans="2:3" ht="12.75" x14ac:dyDescent="0.2">
      <c r="B140" s="1200" t="s">
        <v>797</v>
      </c>
      <c r="C140" s="1344" t="s">
        <v>1803</v>
      </c>
    </row>
    <row r="141" spans="2:3" ht="12.75" x14ac:dyDescent="0.2">
      <c r="B141" s="1200" t="s">
        <v>1281</v>
      </c>
      <c r="C141" s="1344" t="s">
        <v>1803</v>
      </c>
    </row>
    <row r="142" spans="2:3" ht="12.75" x14ac:dyDescent="0.2">
      <c r="B142" s="1200" t="s">
        <v>887</v>
      </c>
      <c r="C142" s="1344" t="s">
        <v>1803</v>
      </c>
    </row>
    <row r="143" spans="2:3" ht="12.75" x14ac:dyDescent="0.2">
      <c r="B143" s="1200" t="s">
        <v>1282</v>
      </c>
      <c r="C143" s="1344" t="s">
        <v>1803</v>
      </c>
    </row>
    <row r="144" spans="2:3" ht="12.75" x14ac:dyDescent="0.2">
      <c r="B144" s="1200" t="s">
        <v>888</v>
      </c>
      <c r="C144" s="1344" t="s">
        <v>1803</v>
      </c>
    </row>
    <row r="145" spans="2:3" ht="12.75" x14ac:dyDescent="0.2">
      <c r="B145" s="1200" t="s">
        <v>889</v>
      </c>
      <c r="C145" s="1344" t="s">
        <v>1803</v>
      </c>
    </row>
    <row r="146" spans="2:3" ht="12.75" x14ac:dyDescent="0.2">
      <c r="B146" s="1200" t="s">
        <v>1489</v>
      </c>
      <c r="C146" s="1344" t="s">
        <v>1803</v>
      </c>
    </row>
    <row r="147" spans="2:3" ht="12.75" x14ac:dyDescent="0.2">
      <c r="B147" s="1200" t="s">
        <v>890</v>
      </c>
      <c r="C147" s="1344" t="s">
        <v>1803</v>
      </c>
    </row>
    <row r="148" spans="2:3" ht="12.75" x14ac:dyDescent="0.2">
      <c r="B148" s="1200" t="s">
        <v>891</v>
      </c>
      <c r="C148" s="1344" t="s">
        <v>1803</v>
      </c>
    </row>
    <row r="149" spans="2:3" ht="12.75" x14ac:dyDescent="0.2">
      <c r="B149" s="1200" t="s">
        <v>892</v>
      </c>
      <c r="C149" s="1344" t="s">
        <v>1803</v>
      </c>
    </row>
    <row r="150" spans="2:3" ht="12.75" x14ac:dyDescent="0.2">
      <c r="B150" s="1200" t="s">
        <v>893</v>
      </c>
      <c r="C150" s="1344" t="s">
        <v>1803</v>
      </c>
    </row>
    <row r="151" spans="2:3" ht="12.75" x14ac:dyDescent="0.2">
      <c r="B151" s="1200" t="s">
        <v>798</v>
      </c>
      <c r="C151" s="1344" t="s">
        <v>1803</v>
      </c>
    </row>
    <row r="152" spans="2:3" ht="12.75" x14ac:dyDescent="0.2">
      <c r="B152" s="1200" t="s">
        <v>894</v>
      </c>
      <c r="C152" s="1344" t="s">
        <v>1803</v>
      </c>
    </row>
    <row r="153" spans="2:3" ht="12.75" x14ac:dyDescent="0.2">
      <c r="B153" s="1200" t="s">
        <v>895</v>
      </c>
      <c r="C153" s="1344" t="s">
        <v>1803</v>
      </c>
    </row>
    <row r="154" spans="2:3" ht="12.75" x14ac:dyDescent="0.2">
      <c r="B154" s="1200" t="s">
        <v>896</v>
      </c>
      <c r="C154" s="1344" t="s">
        <v>1803</v>
      </c>
    </row>
    <row r="155" spans="2:3" ht="12.75" x14ac:dyDescent="0.2">
      <c r="B155" s="1201" t="s">
        <v>1490</v>
      </c>
      <c r="C155" s="1344" t="s">
        <v>1803</v>
      </c>
    </row>
    <row r="156" spans="2:3" ht="12.75" x14ac:dyDescent="0.2">
      <c r="B156" s="1200" t="s">
        <v>1441</v>
      </c>
      <c r="C156" s="1344" t="s">
        <v>1803</v>
      </c>
    </row>
    <row r="157" spans="2:3" ht="12.75" x14ac:dyDescent="0.2">
      <c r="B157" s="1200" t="s">
        <v>897</v>
      </c>
      <c r="C157" s="1344" t="s">
        <v>1806</v>
      </c>
    </row>
    <row r="158" spans="2:3" ht="12.75" x14ac:dyDescent="0.2">
      <c r="B158" s="1200" t="s">
        <v>898</v>
      </c>
      <c r="C158" s="1344" t="s">
        <v>1806</v>
      </c>
    </row>
    <row r="159" spans="2:3" ht="12.75" x14ac:dyDescent="0.2">
      <c r="B159" s="1200" t="s">
        <v>899</v>
      </c>
      <c r="C159" s="1344" t="s">
        <v>1806</v>
      </c>
    </row>
    <row r="160" spans="2:3" ht="12.75" x14ac:dyDescent="0.2">
      <c r="B160" s="1200" t="s">
        <v>900</v>
      </c>
      <c r="C160" s="1344" t="s">
        <v>1806</v>
      </c>
    </row>
    <row r="161" spans="2:3" ht="12.75" x14ac:dyDescent="0.2">
      <c r="B161" s="1200" t="s">
        <v>901</v>
      </c>
      <c r="C161" s="1344" t="s">
        <v>1806</v>
      </c>
    </row>
    <row r="162" spans="2:3" ht="12.75" x14ac:dyDescent="0.2">
      <c r="B162" s="1200" t="s">
        <v>803</v>
      </c>
      <c r="C162" s="1344" t="s">
        <v>1806</v>
      </c>
    </row>
    <row r="163" spans="2:3" ht="12.75" x14ac:dyDescent="0.2">
      <c r="B163" s="1200" t="s">
        <v>902</v>
      </c>
      <c r="C163" s="1344" t="s">
        <v>1806</v>
      </c>
    </row>
    <row r="164" spans="2:3" ht="12.75" x14ac:dyDescent="0.2">
      <c r="B164" s="1200" t="s">
        <v>903</v>
      </c>
      <c r="C164" s="1344" t="s">
        <v>1806</v>
      </c>
    </row>
    <row r="165" spans="2:3" ht="12.75" x14ac:dyDescent="0.2">
      <c r="B165" s="1200" t="s">
        <v>904</v>
      </c>
      <c r="C165" s="1344" t="s">
        <v>1806</v>
      </c>
    </row>
    <row r="166" spans="2:3" ht="12.75" x14ac:dyDescent="0.2">
      <c r="B166" s="1201" t="s">
        <v>1807</v>
      </c>
      <c r="C166" s="1344" t="s">
        <v>1806</v>
      </c>
    </row>
    <row r="167" spans="2:3" ht="12.75" x14ac:dyDescent="0.2">
      <c r="B167" s="1200" t="s">
        <v>804</v>
      </c>
      <c r="C167" s="1344" t="s">
        <v>1806</v>
      </c>
    </row>
    <row r="168" spans="2:3" ht="12.75" x14ac:dyDescent="0.2">
      <c r="B168" s="1200" t="s">
        <v>905</v>
      </c>
      <c r="C168" s="1344" t="s">
        <v>1806</v>
      </c>
    </row>
    <row r="169" spans="2:3" ht="12.75" x14ac:dyDescent="0.2">
      <c r="B169" s="1200" t="s">
        <v>906</v>
      </c>
      <c r="C169" s="1344" t="s">
        <v>1806</v>
      </c>
    </row>
    <row r="170" spans="2:3" ht="12.75" x14ac:dyDescent="0.2">
      <c r="B170" s="1200" t="s">
        <v>907</v>
      </c>
      <c r="C170" s="1344" t="s">
        <v>1806</v>
      </c>
    </row>
    <row r="171" spans="2:3" ht="12.75" x14ac:dyDescent="0.2">
      <c r="B171" s="1200" t="s">
        <v>908</v>
      </c>
      <c r="C171" s="1344" t="s">
        <v>1806</v>
      </c>
    </row>
    <row r="172" spans="2:3" ht="12.75" x14ac:dyDescent="0.2">
      <c r="B172" s="1200" t="s">
        <v>805</v>
      </c>
      <c r="C172" s="1344" t="s">
        <v>1806</v>
      </c>
    </row>
    <row r="173" spans="2:3" ht="12.75" x14ac:dyDescent="0.2">
      <c r="B173" s="1200" t="s">
        <v>909</v>
      </c>
      <c r="C173" s="1344" t="s">
        <v>1806</v>
      </c>
    </row>
    <row r="174" spans="2:3" ht="12.75" x14ac:dyDescent="0.2">
      <c r="B174" s="1200" t="s">
        <v>910</v>
      </c>
      <c r="C174" s="1344" t="s">
        <v>1806</v>
      </c>
    </row>
    <row r="175" spans="2:3" ht="12.75" x14ac:dyDescent="0.2">
      <c r="B175" s="1200" t="s">
        <v>911</v>
      </c>
      <c r="C175" s="1344" t="s">
        <v>1806</v>
      </c>
    </row>
    <row r="176" spans="2:3" ht="12.75" x14ac:dyDescent="0.2">
      <c r="B176" s="1200" t="s">
        <v>912</v>
      </c>
      <c r="C176" s="1344" t="s">
        <v>1806</v>
      </c>
    </row>
    <row r="177" spans="2:3" ht="12.75" x14ac:dyDescent="0.2">
      <c r="B177" s="1201" t="s">
        <v>1808</v>
      </c>
      <c r="C177" s="1344" t="s">
        <v>1806</v>
      </c>
    </row>
    <row r="178" spans="2:3" ht="12.75" x14ac:dyDescent="0.2">
      <c r="B178" s="1200" t="s">
        <v>806</v>
      </c>
      <c r="C178" s="1344" t="s">
        <v>1806</v>
      </c>
    </row>
    <row r="179" spans="2:3" ht="12.75" x14ac:dyDescent="0.2">
      <c r="B179" s="1200" t="s">
        <v>1283</v>
      </c>
      <c r="C179" s="1203" t="s">
        <v>1806</v>
      </c>
    </row>
    <row r="180" spans="2:3" ht="12.75" x14ac:dyDescent="0.2">
      <c r="B180" s="1200" t="s">
        <v>913</v>
      </c>
      <c r="C180" s="1203" t="s">
        <v>1806</v>
      </c>
    </row>
    <row r="181" spans="2:3" ht="12.75" x14ac:dyDescent="0.2">
      <c r="B181" s="1200" t="s">
        <v>1284</v>
      </c>
      <c r="C181" s="1203" t="s">
        <v>1806</v>
      </c>
    </row>
    <row r="182" spans="2:3" ht="12.75" x14ac:dyDescent="0.2">
      <c r="B182" s="1201" t="s">
        <v>1809</v>
      </c>
      <c r="C182" s="1203" t="s">
        <v>1806</v>
      </c>
    </row>
    <row r="183" spans="2:3" ht="12.75" x14ac:dyDescent="0.2">
      <c r="B183" s="1200" t="s">
        <v>1403</v>
      </c>
      <c r="C183" s="1203" t="s">
        <v>1806</v>
      </c>
    </row>
    <row r="184" spans="2:3" ht="12.75" x14ac:dyDescent="0.2">
      <c r="B184" s="1200" t="s">
        <v>914</v>
      </c>
      <c r="C184" s="1203" t="s">
        <v>1810</v>
      </c>
    </row>
    <row r="185" spans="2:3" ht="12.75" x14ac:dyDescent="0.2">
      <c r="B185" s="1200" t="s">
        <v>915</v>
      </c>
      <c r="C185" s="1203" t="s">
        <v>1810</v>
      </c>
    </row>
    <row r="186" spans="2:3" ht="12.75" x14ac:dyDescent="0.2">
      <c r="B186" s="1200" t="s">
        <v>916</v>
      </c>
      <c r="C186" s="1203" t="s">
        <v>1810</v>
      </c>
    </row>
    <row r="187" spans="2:3" ht="12.75" x14ac:dyDescent="0.2">
      <c r="B187" s="1200" t="s">
        <v>1285</v>
      </c>
      <c r="C187" s="1203" t="s">
        <v>1810</v>
      </c>
    </row>
    <row r="188" spans="2:3" ht="12.75" x14ac:dyDescent="0.2">
      <c r="B188" s="1200" t="s">
        <v>917</v>
      </c>
      <c r="C188" s="1203" t="s">
        <v>1810</v>
      </c>
    </row>
    <row r="189" spans="2:3" ht="12.75" x14ac:dyDescent="0.2">
      <c r="B189" s="1200" t="s">
        <v>918</v>
      </c>
      <c r="C189" s="1203" t="s">
        <v>1810</v>
      </c>
    </row>
    <row r="190" spans="2:3" ht="12.75" x14ac:dyDescent="0.2">
      <c r="B190" s="1200" t="s">
        <v>919</v>
      </c>
      <c r="C190" s="1203" t="s">
        <v>1810</v>
      </c>
    </row>
    <row r="191" spans="2:3" ht="12.75" x14ac:dyDescent="0.2">
      <c r="B191" s="1200" t="s">
        <v>800</v>
      </c>
      <c r="C191" s="1203" t="s">
        <v>1810</v>
      </c>
    </row>
    <row r="192" spans="2:3" ht="12.75" x14ac:dyDescent="0.2">
      <c r="B192" s="1200" t="s">
        <v>1286</v>
      </c>
      <c r="C192" s="1203" t="s">
        <v>1810</v>
      </c>
    </row>
    <row r="193" spans="2:3" ht="12.75" x14ac:dyDescent="0.2">
      <c r="B193" s="1200" t="s">
        <v>1408</v>
      </c>
      <c r="C193" s="1203" t="s">
        <v>1810</v>
      </c>
    </row>
    <row r="194" spans="2:3" ht="12.75" x14ac:dyDescent="0.2">
      <c r="B194" s="1200" t="s">
        <v>920</v>
      </c>
      <c r="C194" s="1203" t="s">
        <v>1810</v>
      </c>
    </row>
    <row r="195" spans="2:3" ht="12.75" x14ac:dyDescent="0.2">
      <c r="B195" s="1200" t="s">
        <v>921</v>
      </c>
      <c r="C195" s="1203" t="s">
        <v>1810</v>
      </c>
    </row>
    <row r="196" spans="2:3" ht="12.75" x14ac:dyDescent="0.2">
      <c r="B196" s="1200" t="s">
        <v>1409</v>
      </c>
      <c r="C196" s="1203" t="s">
        <v>1810</v>
      </c>
    </row>
    <row r="197" spans="2:3" ht="12.75" x14ac:dyDescent="0.2">
      <c r="B197" s="1200" t="s">
        <v>922</v>
      </c>
      <c r="C197" s="1203" t="s">
        <v>1810</v>
      </c>
    </row>
    <row r="198" spans="2:3" ht="12.75" x14ac:dyDescent="0.2">
      <c r="B198" s="1200" t="s">
        <v>801</v>
      </c>
      <c r="C198" s="1203" t="s">
        <v>1810</v>
      </c>
    </row>
    <row r="199" spans="2:3" ht="12.75" x14ac:dyDescent="0.2">
      <c r="B199" s="1200" t="s">
        <v>923</v>
      </c>
      <c r="C199" s="1203" t="s">
        <v>1810</v>
      </c>
    </row>
    <row r="200" spans="2:3" ht="12.75" x14ac:dyDescent="0.2">
      <c r="B200" s="1200" t="s">
        <v>924</v>
      </c>
      <c r="C200" s="1203" t="s">
        <v>1810</v>
      </c>
    </row>
    <row r="201" spans="2:3" ht="12.75" x14ac:dyDescent="0.2">
      <c r="B201" s="1200" t="s">
        <v>925</v>
      </c>
      <c r="C201" s="1203" t="s">
        <v>1810</v>
      </c>
    </row>
    <row r="202" spans="2:3" ht="12.75" x14ac:dyDescent="0.2">
      <c r="B202" s="1201" t="s">
        <v>1491</v>
      </c>
      <c r="C202" s="1203" t="s">
        <v>1810</v>
      </c>
    </row>
    <row r="203" spans="2:3" ht="12.75" x14ac:dyDescent="0.2">
      <c r="B203" s="1200" t="s">
        <v>802</v>
      </c>
      <c r="C203" s="1203" t="s">
        <v>1810</v>
      </c>
    </row>
    <row r="204" spans="2:3" ht="12.75" x14ac:dyDescent="0.2">
      <c r="B204" s="1200" t="s">
        <v>1287</v>
      </c>
      <c r="C204" s="1203" t="s">
        <v>1811</v>
      </c>
    </row>
    <row r="205" spans="2:3" ht="12.75" x14ac:dyDescent="0.2">
      <c r="B205" s="1200" t="s">
        <v>948</v>
      </c>
      <c r="C205" s="1203" t="s">
        <v>1811</v>
      </c>
    </row>
    <row r="206" spans="2:3" ht="12.75" x14ac:dyDescent="0.2">
      <c r="B206" s="1200" t="s">
        <v>949</v>
      </c>
      <c r="C206" s="1203" t="s">
        <v>1811</v>
      </c>
    </row>
    <row r="207" spans="2:3" ht="12.75" x14ac:dyDescent="0.2">
      <c r="B207" s="1200" t="s">
        <v>1278</v>
      </c>
      <c r="C207" s="1203" t="s">
        <v>1811</v>
      </c>
    </row>
    <row r="208" spans="2:3" ht="12.75" x14ac:dyDescent="0.2">
      <c r="B208" s="1200" t="s">
        <v>926</v>
      </c>
      <c r="C208" s="1203" t="s">
        <v>1811</v>
      </c>
    </row>
    <row r="209" spans="2:3" ht="12.75" x14ac:dyDescent="0.2">
      <c r="B209" s="1200" t="s">
        <v>927</v>
      </c>
      <c r="C209" s="1203" t="s">
        <v>1811</v>
      </c>
    </row>
    <row r="210" spans="2:3" ht="12.75" x14ac:dyDescent="0.2">
      <c r="B210" s="1200" t="s">
        <v>928</v>
      </c>
      <c r="C210" s="1203" t="s">
        <v>1811</v>
      </c>
    </row>
    <row r="211" spans="2:3" ht="12.75" x14ac:dyDescent="0.2">
      <c r="B211" s="1200" t="s">
        <v>929</v>
      </c>
      <c r="C211" s="1203" t="s">
        <v>1811</v>
      </c>
    </row>
    <row r="212" spans="2:3" ht="12.75" x14ac:dyDescent="0.2">
      <c r="B212" s="1200" t="s">
        <v>930</v>
      </c>
      <c r="C212" s="1203" t="s">
        <v>1811</v>
      </c>
    </row>
    <row r="213" spans="2:3" ht="12.75" x14ac:dyDescent="0.2">
      <c r="B213" s="1200" t="s">
        <v>931</v>
      </c>
      <c r="C213" s="1203" t="s">
        <v>1811</v>
      </c>
    </row>
    <row r="214" spans="2:3" ht="12.75" x14ac:dyDescent="0.2">
      <c r="B214" s="1200" t="s">
        <v>815</v>
      </c>
      <c r="C214" s="1203" t="s">
        <v>1811</v>
      </c>
    </row>
    <row r="215" spans="2:3" ht="12.75" x14ac:dyDescent="0.2">
      <c r="B215" s="1200" t="s">
        <v>932</v>
      </c>
      <c r="C215" s="1203" t="s">
        <v>1811</v>
      </c>
    </row>
    <row r="216" spans="2:3" ht="12.75" x14ac:dyDescent="0.2">
      <c r="B216" s="1200" t="s">
        <v>933</v>
      </c>
      <c r="C216" s="1203" t="s">
        <v>1811</v>
      </c>
    </row>
    <row r="217" spans="2:3" ht="12.75" x14ac:dyDescent="0.2">
      <c r="B217" s="1200" t="s">
        <v>934</v>
      </c>
      <c r="C217" s="1203" t="s">
        <v>1811</v>
      </c>
    </row>
    <row r="218" spans="2:3" ht="12.75" x14ac:dyDescent="0.2">
      <c r="B218" s="1200" t="s">
        <v>935</v>
      </c>
      <c r="C218" s="1203" t="s">
        <v>1811</v>
      </c>
    </row>
    <row r="219" spans="2:3" ht="12.75" x14ac:dyDescent="0.2">
      <c r="B219" s="1200" t="s">
        <v>936</v>
      </c>
      <c r="C219" s="1203" t="s">
        <v>1811</v>
      </c>
    </row>
    <row r="220" spans="2:3" ht="12.75" x14ac:dyDescent="0.2">
      <c r="B220" s="1200" t="s">
        <v>937</v>
      </c>
      <c r="C220" s="1203" t="s">
        <v>1811</v>
      </c>
    </row>
    <row r="221" spans="2:3" ht="12.75" x14ac:dyDescent="0.2">
      <c r="B221" s="1200" t="s">
        <v>938</v>
      </c>
      <c r="C221" s="1203" t="s">
        <v>1811</v>
      </c>
    </row>
    <row r="222" spans="2:3" ht="12.75" x14ac:dyDescent="0.2">
      <c r="B222" s="1200" t="s">
        <v>939</v>
      </c>
      <c r="C222" s="1203" t="s">
        <v>1811</v>
      </c>
    </row>
    <row r="223" spans="2:3" ht="12.75" x14ac:dyDescent="0.2">
      <c r="B223" s="1200" t="s">
        <v>1404</v>
      </c>
      <c r="C223" s="1203" t="s">
        <v>1811</v>
      </c>
    </row>
    <row r="224" spans="2:3" ht="12.75" x14ac:dyDescent="0.2">
      <c r="B224" s="1200" t="s">
        <v>940</v>
      </c>
      <c r="C224" s="1203" t="s">
        <v>1811</v>
      </c>
    </row>
    <row r="225" spans="2:3" ht="12.75" x14ac:dyDescent="0.2">
      <c r="B225" s="1200" t="s">
        <v>941</v>
      </c>
      <c r="C225" s="1203" t="s">
        <v>1811</v>
      </c>
    </row>
    <row r="226" spans="2:3" ht="12.75" x14ac:dyDescent="0.2">
      <c r="B226" s="1200" t="s">
        <v>942</v>
      </c>
      <c r="C226" s="1203" t="s">
        <v>1811</v>
      </c>
    </row>
    <row r="227" spans="2:3" ht="12.75" x14ac:dyDescent="0.2">
      <c r="B227" s="1200" t="s">
        <v>943</v>
      </c>
      <c r="C227" s="1203" t="s">
        <v>1811</v>
      </c>
    </row>
    <row r="228" spans="2:3" ht="12.75" x14ac:dyDescent="0.2">
      <c r="B228" s="1201" t="s">
        <v>1812</v>
      </c>
      <c r="C228" s="1203" t="s">
        <v>1811</v>
      </c>
    </row>
    <row r="229" spans="2:3" ht="12.75" x14ac:dyDescent="0.2">
      <c r="B229" s="1200" t="s">
        <v>1483</v>
      </c>
      <c r="C229" s="1203" t="s">
        <v>1811</v>
      </c>
    </row>
    <row r="230" spans="2:3" ht="12.75" x14ac:dyDescent="0.2">
      <c r="B230" s="1200" t="s">
        <v>944</v>
      </c>
      <c r="C230" s="1203" t="s">
        <v>1811</v>
      </c>
    </row>
    <row r="231" spans="2:3" ht="12.75" x14ac:dyDescent="0.2">
      <c r="B231" s="1200" t="s">
        <v>945</v>
      </c>
      <c r="C231" s="1203" t="s">
        <v>1811</v>
      </c>
    </row>
    <row r="232" spans="2:3" ht="12.75" x14ac:dyDescent="0.2">
      <c r="B232" s="1200" t="s">
        <v>946</v>
      </c>
      <c r="C232" s="1203" t="s">
        <v>1811</v>
      </c>
    </row>
    <row r="233" spans="2:3" ht="12.75" x14ac:dyDescent="0.2">
      <c r="B233" s="1200" t="s">
        <v>947</v>
      </c>
      <c r="C233" s="1203" t="s">
        <v>1811</v>
      </c>
    </row>
    <row r="234" spans="2:3" ht="12.75" x14ac:dyDescent="0.2">
      <c r="B234" s="1200" t="s">
        <v>816</v>
      </c>
      <c r="C234" s="1203" t="s">
        <v>1811</v>
      </c>
    </row>
    <row r="235" spans="2:3" ht="12.75" x14ac:dyDescent="0.2">
      <c r="B235" s="1200" t="s">
        <v>950</v>
      </c>
      <c r="C235" s="1203" t="s">
        <v>1813</v>
      </c>
    </row>
    <row r="236" spans="2:3" ht="12.75" x14ac:dyDescent="0.2">
      <c r="B236" s="1200" t="s">
        <v>951</v>
      </c>
      <c r="C236" s="1203" t="s">
        <v>1813</v>
      </c>
    </row>
    <row r="237" spans="2:3" ht="12.75" x14ac:dyDescent="0.2">
      <c r="B237" s="1200" t="s">
        <v>952</v>
      </c>
      <c r="C237" s="1203" t="s">
        <v>1813</v>
      </c>
    </row>
    <row r="238" spans="2:3" ht="12.75" x14ac:dyDescent="0.2">
      <c r="B238" s="1200" t="s">
        <v>953</v>
      </c>
      <c r="C238" s="1203" t="s">
        <v>1813</v>
      </c>
    </row>
    <row r="239" spans="2:3" ht="12.75" x14ac:dyDescent="0.2">
      <c r="B239" s="1200" t="s">
        <v>954</v>
      </c>
      <c r="C239" s="1203" t="s">
        <v>1813</v>
      </c>
    </row>
    <row r="240" spans="2:3" ht="12.75" x14ac:dyDescent="0.2">
      <c r="B240" s="1200" t="s">
        <v>807</v>
      </c>
      <c r="C240" s="1203" t="s">
        <v>1813</v>
      </c>
    </row>
    <row r="241" spans="2:3" ht="12.75" x14ac:dyDescent="0.2">
      <c r="B241" s="1200" t="s">
        <v>955</v>
      </c>
      <c r="C241" s="1203" t="s">
        <v>1813</v>
      </c>
    </row>
    <row r="242" spans="2:3" ht="12.75" x14ac:dyDescent="0.2">
      <c r="B242" s="1200" t="s">
        <v>956</v>
      </c>
      <c r="C242" s="1203" t="s">
        <v>1813</v>
      </c>
    </row>
    <row r="243" spans="2:3" ht="12.75" x14ac:dyDescent="0.2">
      <c r="B243" s="1200" t="s">
        <v>957</v>
      </c>
      <c r="C243" s="1203" t="s">
        <v>1813</v>
      </c>
    </row>
    <row r="244" spans="2:3" ht="12.75" x14ac:dyDescent="0.2">
      <c r="B244" s="1200" t="s">
        <v>958</v>
      </c>
      <c r="C244" s="1203" t="s">
        <v>1813</v>
      </c>
    </row>
    <row r="245" spans="2:3" ht="12.75" x14ac:dyDescent="0.2">
      <c r="B245" s="1200" t="s">
        <v>959</v>
      </c>
      <c r="C245" s="1203" t="s">
        <v>1813</v>
      </c>
    </row>
    <row r="246" spans="2:3" ht="12.75" x14ac:dyDescent="0.2">
      <c r="B246" s="1200" t="s">
        <v>808</v>
      </c>
      <c r="C246" s="1203" t="s">
        <v>1813</v>
      </c>
    </row>
    <row r="247" spans="2:3" ht="12.75" x14ac:dyDescent="0.2">
      <c r="B247" s="1200" t="s">
        <v>960</v>
      </c>
      <c r="C247" s="1203" t="s">
        <v>1813</v>
      </c>
    </row>
    <row r="248" spans="2:3" ht="12.75" x14ac:dyDescent="0.2">
      <c r="B248" s="1200" t="s">
        <v>961</v>
      </c>
      <c r="C248" s="1203" t="s">
        <v>1813</v>
      </c>
    </row>
    <row r="249" spans="2:3" ht="12.75" x14ac:dyDescent="0.2">
      <c r="B249" s="1200" t="s">
        <v>962</v>
      </c>
      <c r="C249" s="1203" t="s">
        <v>1813</v>
      </c>
    </row>
    <row r="250" spans="2:3" ht="12.75" x14ac:dyDescent="0.2">
      <c r="B250" s="1200" t="s">
        <v>963</v>
      </c>
      <c r="C250" s="1203" t="s">
        <v>1813</v>
      </c>
    </row>
    <row r="251" spans="2:3" ht="12.75" x14ac:dyDescent="0.2">
      <c r="B251" s="1200" t="s">
        <v>1443</v>
      </c>
      <c r="C251" s="1203" t="s">
        <v>1813</v>
      </c>
    </row>
    <row r="252" spans="2:3" ht="12.75" x14ac:dyDescent="0.2">
      <c r="B252" s="1200" t="s">
        <v>809</v>
      </c>
      <c r="C252" s="1203" t="s">
        <v>1813</v>
      </c>
    </row>
    <row r="253" spans="2:3" ht="12.75" x14ac:dyDescent="0.2">
      <c r="B253" s="1200" t="s">
        <v>964</v>
      </c>
      <c r="C253" s="1203" t="s">
        <v>1813</v>
      </c>
    </row>
    <row r="254" spans="2:3" ht="12.75" x14ac:dyDescent="0.2">
      <c r="B254" s="1200" t="s">
        <v>965</v>
      </c>
      <c r="C254" s="1203" t="s">
        <v>1813</v>
      </c>
    </row>
    <row r="255" spans="2:3" ht="12.75" x14ac:dyDescent="0.2">
      <c r="B255" s="1201" t="s">
        <v>1814</v>
      </c>
      <c r="C255" s="1203" t="s">
        <v>1813</v>
      </c>
    </row>
    <row r="256" spans="2:3" ht="12.75" x14ac:dyDescent="0.2">
      <c r="B256" s="1200" t="s">
        <v>810</v>
      </c>
      <c r="C256" s="1203" t="s">
        <v>1813</v>
      </c>
    </row>
    <row r="257" spans="2:3" ht="12.75" x14ac:dyDescent="0.2">
      <c r="B257" s="1200" t="s">
        <v>1416</v>
      </c>
      <c r="C257" s="1203" t="s">
        <v>1815</v>
      </c>
    </row>
    <row r="258" spans="2:3" ht="12.75" x14ac:dyDescent="0.2">
      <c r="B258" s="1200" t="s">
        <v>966</v>
      </c>
      <c r="C258" s="1203" t="s">
        <v>1815</v>
      </c>
    </row>
    <row r="259" spans="2:3" ht="12.75" x14ac:dyDescent="0.2">
      <c r="B259" s="1200" t="s">
        <v>967</v>
      </c>
      <c r="C259" s="1203" t="s">
        <v>1815</v>
      </c>
    </row>
    <row r="260" spans="2:3" ht="12.75" x14ac:dyDescent="0.2">
      <c r="B260" s="1200" t="s">
        <v>968</v>
      </c>
      <c r="C260" s="1203" t="s">
        <v>1815</v>
      </c>
    </row>
    <row r="261" spans="2:3" ht="12.75" x14ac:dyDescent="0.2">
      <c r="B261" s="1200" t="s">
        <v>969</v>
      </c>
      <c r="C261" s="1203" t="s">
        <v>1815</v>
      </c>
    </row>
    <row r="262" spans="2:3" ht="12.75" x14ac:dyDescent="0.2">
      <c r="B262" s="1200" t="s">
        <v>970</v>
      </c>
      <c r="C262" s="1203" t="s">
        <v>1815</v>
      </c>
    </row>
    <row r="263" spans="2:3" ht="12.75" x14ac:dyDescent="0.2">
      <c r="B263" s="1200" t="s">
        <v>783</v>
      </c>
      <c r="C263" s="1203" t="s">
        <v>1815</v>
      </c>
    </row>
    <row r="264" spans="2:3" ht="12.75" x14ac:dyDescent="0.2">
      <c r="B264" s="1200" t="s">
        <v>971</v>
      </c>
      <c r="C264" s="1203" t="s">
        <v>1815</v>
      </c>
    </row>
    <row r="265" spans="2:3" ht="12.75" x14ac:dyDescent="0.2">
      <c r="B265" s="1200" t="s">
        <v>972</v>
      </c>
      <c r="C265" s="1203" t="s">
        <v>1815</v>
      </c>
    </row>
    <row r="266" spans="2:3" ht="12.75" x14ac:dyDescent="0.2">
      <c r="B266" s="1200" t="s">
        <v>973</v>
      </c>
      <c r="C266" s="1203" t="s">
        <v>1815</v>
      </c>
    </row>
    <row r="267" spans="2:3" ht="12.75" x14ac:dyDescent="0.2">
      <c r="B267" s="1200" t="s">
        <v>974</v>
      </c>
      <c r="C267" s="1203" t="s">
        <v>1815</v>
      </c>
    </row>
    <row r="268" spans="2:3" ht="12.75" x14ac:dyDescent="0.2">
      <c r="B268" s="1200" t="s">
        <v>1288</v>
      </c>
      <c r="C268" s="1203" t="s">
        <v>1815</v>
      </c>
    </row>
    <row r="269" spans="2:3" ht="12.75" x14ac:dyDescent="0.2">
      <c r="B269" s="1200" t="s">
        <v>1402</v>
      </c>
      <c r="C269" s="1203" t="s">
        <v>1815</v>
      </c>
    </row>
    <row r="270" spans="2:3" ht="12.75" x14ac:dyDescent="0.2">
      <c r="B270" s="1200" t="s">
        <v>975</v>
      </c>
      <c r="C270" s="1203" t="s">
        <v>1815</v>
      </c>
    </row>
    <row r="271" spans="2:3" ht="12.75" x14ac:dyDescent="0.2">
      <c r="B271" s="1200" t="s">
        <v>976</v>
      </c>
      <c r="C271" s="1203" t="s">
        <v>1815</v>
      </c>
    </row>
    <row r="272" spans="2:3" ht="12.75" x14ac:dyDescent="0.2">
      <c r="B272" s="1200" t="s">
        <v>977</v>
      </c>
      <c r="C272" s="1203" t="s">
        <v>1815</v>
      </c>
    </row>
    <row r="273" spans="2:3" ht="12.75" x14ac:dyDescent="0.2">
      <c r="B273" s="1200" t="s">
        <v>978</v>
      </c>
      <c r="C273" s="1203" t="s">
        <v>1815</v>
      </c>
    </row>
    <row r="274" spans="2:3" ht="12.75" x14ac:dyDescent="0.2">
      <c r="B274" s="1200" t="s">
        <v>799</v>
      </c>
      <c r="C274" s="1203" t="s">
        <v>1815</v>
      </c>
    </row>
    <row r="275" spans="2:3" ht="12.75" x14ac:dyDescent="0.2">
      <c r="B275" s="1200" t="s">
        <v>979</v>
      </c>
      <c r="C275" s="1203" t="s">
        <v>1815</v>
      </c>
    </row>
    <row r="276" spans="2:3" ht="12.75" x14ac:dyDescent="0.2">
      <c r="B276" s="1200" t="s">
        <v>980</v>
      </c>
      <c r="C276" s="1203" t="s">
        <v>1815</v>
      </c>
    </row>
    <row r="277" spans="2:3" ht="12.75" x14ac:dyDescent="0.2">
      <c r="B277" s="1200" t="s">
        <v>981</v>
      </c>
      <c r="C277" s="1203" t="s">
        <v>1815</v>
      </c>
    </row>
    <row r="278" spans="2:3" ht="12.75" x14ac:dyDescent="0.2">
      <c r="B278" s="1200" t="s">
        <v>982</v>
      </c>
      <c r="C278" s="1203" t="s">
        <v>1815</v>
      </c>
    </row>
    <row r="279" spans="2:3" ht="12.75" x14ac:dyDescent="0.2">
      <c r="B279" s="1200" t="s">
        <v>983</v>
      </c>
      <c r="C279" s="1203" t="s">
        <v>1815</v>
      </c>
    </row>
    <row r="280" spans="2:3" ht="12.75" x14ac:dyDescent="0.2">
      <c r="B280" s="1200" t="s">
        <v>984</v>
      </c>
      <c r="C280" s="1203" t="s">
        <v>1815</v>
      </c>
    </row>
    <row r="281" spans="2:3" ht="12.75" x14ac:dyDescent="0.2">
      <c r="B281" s="1200" t="s">
        <v>985</v>
      </c>
      <c r="C281" s="1203" t="s">
        <v>1815</v>
      </c>
    </row>
    <row r="282" spans="2:3" ht="12.75" x14ac:dyDescent="0.2">
      <c r="B282" s="1200" t="s">
        <v>1816</v>
      </c>
      <c r="C282" s="1203" t="s">
        <v>1815</v>
      </c>
    </row>
    <row r="283" spans="2:3" ht="12.75" x14ac:dyDescent="0.2">
      <c r="B283" s="1200" t="s">
        <v>986</v>
      </c>
      <c r="C283" s="1203" t="s">
        <v>1815</v>
      </c>
    </row>
    <row r="284" spans="2:3" ht="12.75" x14ac:dyDescent="0.2">
      <c r="B284" s="1200" t="s">
        <v>987</v>
      </c>
      <c r="C284" s="1203" t="s">
        <v>1815</v>
      </c>
    </row>
    <row r="285" spans="2:3" ht="12.75" x14ac:dyDescent="0.2">
      <c r="B285" s="1200" t="s">
        <v>988</v>
      </c>
      <c r="C285" s="1203" t="s">
        <v>1815</v>
      </c>
    </row>
    <row r="286" spans="2:3" ht="12.75" x14ac:dyDescent="0.2">
      <c r="B286" s="1200" t="s">
        <v>814</v>
      </c>
      <c r="C286" s="1203" t="s">
        <v>1815</v>
      </c>
    </row>
    <row r="287" spans="2:3" ht="12.75" x14ac:dyDescent="0.2">
      <c r="B287" s="838"/>
      <c r="C287" s="1035"/>
    </row>
    <row r="288" spans="2:3" ht="12.75" x14ac:dyDescent="0.2">
      <c r="B288" s="838"/>
      <c r="C288" s="1035"/>
    </row>
    <row r="289" spans="2:3" ht="12.75" x14ac:dyDescent="0.2">
      <c r="B289" s="838"/>
      <c r="C289" s="1035"/>
    </row>
    <row r="290" spans="2:3" ht="12.75" x14ac:dyDescent="0.2">
      <c r="B290" s="838"/>
      <c r="C290" s="1035"/>
    </row>
    <row r="291" spans="2:3" ht="12.75" x14ac:dyDescent="0.2">
      <c r="B291" s="838"/>
      <c r="C291" s="1035"/>
    </row>
    <row r="292" spans="2:3" ht="12.75" x14ac:dyDescent="0.2">
      <c r="B292" s="838"/>
      <c r="C292" s="1035"/>
    </row>
    <row r="293" spans="2:3" ht="12.75" x14ac:dyDescent="0.2">
      <c r="B293" s="838"/>
      <c r="C293" s="1035"/>
    </row>
    <row r="294" spans="2:3" ht="12.75" x14ac:dyDescent="0.2">
      <c r="B294" s="838"/>
      <c r="C294" s="1035"/>
    </row>
    <row r="295" spans="2:3" ht="12.75" x14ac:dyDescent="0.2">
      <c r="B295" s="838"/>
      <c r="C295" s="1035"/>
    </row>
    <row r="296" spans="2:3" ht="12.75" x14ac:dyDescent="0.2">
      <c r="B296" s="838"/>
      <c r="C296" s="1035"/>
    </row>
    <row r="297" spans="2:3" ht="12.75" x14ac:dyDescent="0.2">
      <c r="B297" s="838"/>
      <c r="C297" s="1035"/>
    </row>
    <row r="298" spans="2:3" ht="12.75" x14ac:dyDescent="0.2">
      <c r="B298" s="838"/>
      <c r="C298" s="1035"/>
    </row>
    <row r="299" spans="2:3" ht="12.75" x14ac:dyDescent="0.2">
      <c r="B299" s="838"/>
      <c r="C299" s="1035"/>
    </row>
    <row r="300" spans="2:3" ht="12.75" x14ac:dyDescent="0.2">
      <c r="B300" s="838"/>
      <c r="C300" s="1035"/>
    </row>
    <row r="301" spans="2:3" ht="12.75" x14ac:dyDescent="0.2">
      <c r="B301" s="838"/>
      <c r="C301" s="1035"/>
    </row>
    <row r="302" spans="2:3" ht="12.75" x14ac:dyDescent="0.2">
      <c r="B302" s="838"/>
      <c r="C302" s="1035"/>
    </row>
    <row r="303" spans="2:3" ht="12.75" x14ac:dyDescent="0.2">
      <c r="B303" s="838"/>
      <c r="C303" s="1035"/>
    </row>
    <row r="304" spans="2:3" ht="12.75" x14ac:dyDescent="0.2">
      <c r="B304" s="838"/>
      <c r="C304" s="1035"/>
    </row>
    <row r="305" spans="2:3" ht="12.75" x14ac:dyDescent="0.2">
      <c r="B305" s="838"/>
      <c r="C305" s="1035"/>
    </row>
    <row r="306" spans="2:3" ht="12.75" x14ac:dyDescent="0.2">
      <c r="B306" s="838"/>
      <c r="C306" s="1035"/>
    </row>
    <row r="307" spans="2:3" ht="12.75" x14ac:dyDescent="0.2">
      <c r="B307" s="838"/>
      <c r="C307" s="1035"/>
    </row>
    <row r="308" spans="2:3" x14ac:dyDescent="0.2">
      <c r="C308" s="1036">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70" activePane="bottomRight" state="frozen"/>
      <selection activeCell="C6" sqref="C6"/>
      <selection pane="topRight" activeCell="C6" sqref="C6"/>
      <selection pane="bottomLeft" activeCell="C6" sqref="C6"/>
      <selection pane="bottomRight" activeCell="M156" sqref="M15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LIM333 Greater Tzaneen - Supporting Table SB18d Adjustments Budget - depreciation by asset class - 27/02/2019</v>
      </c>
      <c r="B1" s="5"/>
      <c r="C1" s="58"/>
    </row>
    <row r="2" spans="1:14" ht="25.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53" t="s">
        <v>1434</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772</v>
      </c>
      <c r="B8" s="73"/>
      <c r="C8" s="704">
        <f>C9+C14+C18+C28+C70+C39+C46+C54+C64</f>
        <v>116706773.20999999</v>
      </c>
      <c r="D8" s="704">
        <f t="shared" ref="D8:I8" si="0">D9+D14+D18+D28+D70+D39+D46+D54+D64</f>
        <v>0</v>
      </c>
      <c r="E8" s="704">
        <f t="shared" si="0"/>
        <v>0</v>
      </c>
      <c r="F8" s="704">
        <f t="shared" si="0"/>
        <v>0</v>
      </c>
      <c r="G8" s="704">
        <f t="shared" si="0"/>
        <v>0</v>
      </c>
      <c r="H8" s="704">
        <f t="shared" si="0"/>
        <v>0</v>
      </c>
      <c r="I8" s="704">
        <f t="shared" si="0"/>
        <v>0</v>
      </c>
      <c r="J8" s="705">
        <f>SUM(E8:I8)</f>
        <v>0</v>
      </c>
      <c r="K8" s="705">
        <f>IF(D8=0,C8+J8,D8+J8)</f>
        <v>116706773.20999999</v>
      </c>
      <c r="L8" s="704">
        <f>L9+L14+L18+L28+L70+L39+L46+L54+L64</f>
        <v>118369592.70550001</v>
      </c>
      <c r="M8" s="706">
        <f>M9+M14+M18+M28+M70+M39+M46+M54+M64</f>
        <v>121454229.79000001</v>
      </c>
      <c r="N8" s="847"/>
    </row>
    <row r="9" spans="1:14" ht="12.75" customHeight="1" x14ac:dyDescent="0.25">
      <c r="A9" s="595" t="s">
        <v>1591</v>
      </c>
      <c r="B9" s="73"/>
      <c r="C9" s="265">
        <f>SUM(C10:C13)</f>
        <v>72840121.209999993</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72840121.209999993</v>
      </c>
      <c r="L9" s="265">
        <f t="shared" si="1"/>
        <v>75448940.705500007</v>
      </c>
      <c r="M9" s="266">
        <f t="shared" si="1"/>
        <v>74711197.790000007</v>
      </c>
      <c r="N9" s="128"/>
    </row>
    <row r="10" spans="1:14" ht="12.75" customHeight="1" x14ac:dyDescent="0.25">
      <c r="A10" s="596" t="s">
        <v>1008</v>
      </c>
      <c r="B10" s="73"/>
      <c r="C10" s="109">
        <v>72840121.209999993</v>
      </c>
      <c r="D10" s="109"/>
      <c r="E10" s="109"/>
      <c r="F10" s="109"/>
      <c r="G10" s="109"/>
      <c r="H10" s="109"/>
      <c r="I10" s="109"/>
      <c r="J10" s="75">
        <f t="shared" si="2"/>
        <v>0</v>
      </c>
      <c r="K10" s="75">
        <f t="shared" si="3"/>
        <v>72840121.209999993</v>
      </c>
      <c r="L10" s="109">
        <v>75448940.705500007</v>
      </c>
      <c r="M10" s="110">
        <v>74711197.790000007</v>
      </c>
      <c r="N10" s="847"/>
    </row>
    <row r="11" spans="1:14" ht="12.75" customHeight="1" x14ac:dyDescent="0.25">
      <c r="A11" s="596" t="s">
        <v>1592</v>
      </c>
      <c r="B11" s="73"/>
      <c r="C11" s="109"/>
      <c r="D11" s="109"/>
      <c r="E11" s="109"/>
      <c r="F11" s="109"/>
      <c r="G11" s="109"/>
      <c r="H11" s="109"/>
      <c r="I11" s="109"/>
      <c r="J11" s="75">
        <f t="shared" si="2"/>
        <v>0</v>
      </c>
      <c r="K11" s="75">
        <f t="shared" si="3"/>
        <v>0</v>
      </c>
      <c r="L11" s="109"/>
      <c r="M11" s="110"/>
      <c r="N11" s="852"/>
    </row>
    <row r="12" spans="1:14" ht="12.75" customHeight="1" x14ac:dyDescent="0.25">
      <c r="A12" s="596" t="s">
        <v>1593</v>
      </c>
      <c r="B12" s="73"/>
      <c r="C12" s="109"/>
      <c r="D12" s="109"/>
      <c r="E12" s="109"/>
      <c r="F12" s="109"/>
      <c r="G12" s="109"/>
      <c r="H12" s="109"/>
      <c r="I12" s="109"/>
      <c r="J12" s="75">
        <f t="shared" si="2"/>
        <v>0</v>
      </c>
      <c r="K12" s="75">
        <f t="shared" si="3"/>
        <v>0</v>
      </c>
      <c r="L12" s="109"/>
      <c r="M12" s="110"/>
      <c r="N12" s="847"/>
    </row>
    <row r="13" spans="1:14" ht="12.75" customHeight="1" x14ac:dyDescent="0.25">
      <c r="A13" s="596" t="s">
        <v>1594</v>
      </c>
      <c r="B13" s="73"/>
      <c r="C13" s="109"/>
      <c r="D13" s="109"/>
      <c r="E13" s="109"/>
      <c r="F13" s="109"/>
      <c r="G13" s="109"/>
      <c r="H13" s="109"/>
      <c r="I13" s="109"/>
      <c r="J13" s="75">
        <f t="shared" si="2"/>
        <v>0</v>
      </c>
      <c r="K13" s="75">
        <f t="shared" si="3"/>
        <v>0</v>
      </c>
      <c r="L13" s="109"/>
      <c r="M13" s="110"/>
      <c r="N13" s="852"/>
    </row>
    <row r="14" spans="1:14" ht="12.75" customHeight="1" x14ac:dyDescent="0.25">
      <c r="A14" s="595" t="s">
        <v>1595</v>
      </c>
      <c r="B14" s="73"/>
      <c r="C14" s="132">
        <f t="shared" ref="C14:I14" si="4">SUM(C15:C17)</f>
        <v>3030000</v>
      </c>
      <c r="D14" s="132">
        <f t="shared" si="4"/>
        <v>0</v>
      </c>
      <c r="E14" s="132">
        <f t="shared" si="4"/>
        <v>0</v>
      </c>
      <c r="F14" s="132">
        <f t="shared" si="4"/>
        <v>0</v>
      </c>
      <c r="G14" s="132">
        <f t="shared" si="4"/>
        <v>0</v>
      </c>
      <c r="H14" s="132">
        <f t="shared" si="4"/>
        <v>0</v>
      </c>
      <c r="I14" s="132">
        <f t="shared" si="4"/>
        <v>0</v>
      </c>
      <c r="J14" s="75">
        <f t="shared" si="2"/>
        <v>0</v>
      </c>
      <c r="K14" s="75">
        <f t="shared" si="3"/>
        <v>3030000</v>
      </c>
      <c r="L14" s="132">
        <f>SUM(L15:L17)</f>
        <v>3084000</v>
      </c>
      <c r="M14" s="133">
        <f>SUM(M15:M17)</f>
        <v>3138000</v>
      </c>
      <c r="N14" s="852"/>
    </row>
    <row r="15" spans="1:14" ht="12.75" customHeight="1" x14ac:dyDescent="0.25">
      <c r="A15" s="596" t="s">
        <v>1596</v>
      </c>
      <c r="B15" s="73"/>
      <c r="C15" s="109">
        <v>3030000</v>
      </c>
      <c r="D15" s="109"/>
      <c r="E15" s="109"/>
      <c r="F15" s="109"/>
      <c r="G15" s="109"/>
      <c r="H15" s="109"/>
      <c r="I15" s="109"/>
      <c r="J15" s="75">
        <f t="shared" si="2"/>
        <v>0</v>
      </c>
      <c r="K15" s="75">
        <f t="shared" si="3"/>
        <v>3030000</v>
      </c>
      <c r="L15" s="109">
        <v>3084000</v>
      </c>
      <c r="M15" s="110">
        <v>3138000</v>
      </c>
      <c r="N15" s="852"/>
    </row>
    <row r="16" spans="1:14" ht="12.75" customHeight="1" x14ac:dyDescent="0.25">
      <c r="A16" s="596" t="s">
        <v>1597</v>
      </c>
      <c r="B16" s="73"/>
      <c r="C16" s="109"/>
      <c r="D16" s="109"/>
      <c r="E16" s="109"/>
      <c r="F16" s="109"/>
      <c r="G16" s="109"/>
      <c r="H16" s="109"/>
      <c r="I16" s="109"/>
      <c r="J16" s="75">
        <f t="shared" si="2"/>
        <v>0</v>
      </c>
      <c r="K16" s="75">
        <f t="shared" si="3"/>
        <v>0</v>
      </c>
      <c r="L16" s="109"/>
      <c r="M16" s="110"/>
      <c r="N16" s="852"/>
    </row>
    <row r="17" spans="1:14" ht="12.75" customHeight="1" x14ac:dyDescent="0.25">
      <c r="A17" s="596" t="s">
        <v>1598</v>
      </c>
      <c r="B17" s="73"/>
      <c r="C17" s="109"/>
      <c r="D17" s="109"/>
      <c r="E17" s="109"/>
      <c r="F17" s="109"/>
      <c r="G17" s="109"/>
      <c r="H17" s="109"/>
      <c r="I17" s="109"/>
      <c r="J17" s="75">
        <f t="shared" si="2"/>
        <v>0</v>
      </c>
      <c r="K17" s="75">
        <f t="shared" si="3"/>
        <v>0</v>
      </c>
      <c r="L17" s="109"/>
      <c r="M17" s="110"/>
      <c r="N17" s="852"/>
    </row>
    <row r="18" spans="1:14" ht="12.75" customHeight="1" x14ac:dyDescent="0.25">
      <c r="A18" s="595" t="s">
        <v>1599</v>
      </c>
      <c r="B18" s="73"/>
      <c r="C18" s="132">
        <f t="shared" ref="C18:M18" si="5">SUM(C19:C27)</f>
        <v>39925397</v>
      </c>
      <c r="D18" s="132">
        <f t="shared" si="5"/>
        <v>0</v>
      </c>
      <c r="E18" s="132">
        <f t="shared" si="5"/>
        <v>0</v>
      </c>
      <c r="F18" s="132">
        <f t="shared" si="5"/>
        <v>0</v>
      </c>
      <c r="G18" s="132">
        <f t="shared" si="5"/>
        <v>0</v>
      </c>
      <c r="H18" s="132">
        <f t="shared" si="5"/>
        <v>0</v>
      </c>
      <c r="I18" s="132">
        <f t="shared" si="5"/>
        <v>0</v>
      </c>
      <c r="J18" s="75">
        <f t="shared" si="2"/>
        <v>0</v>
      </c>
      <c r="K18" s="75">
        <f t="shared" si="3"/>
        <v>39925397</v>
      </c>
      <c r="L18" s="132">
        <f t="shared" si="5"/>
        <v>38925397</v>
      </c>
      <c r="M18" s="133">
        <f t="shared" si="5"/>
        <v>42548039</v>
      </c>
      <c r="N18" s="852"/>
    </row>
    <row r="19" spans="1:14" ht="12.75" customHeight="1" x14ac:dyDescent="0.25">
      <c r="A19" s="596" t="s">
        <v>1600</v>
      </c>
      <c r="B19" s="73"/>
      <c r="C19" s="109"/>
      <c r="D19" s="109"/>
      <c r="E19" s="109"/>
      <c r="F19" s="109"/>
      <c r="G19" s="109"/>
      <c r="H19" s="109"/>
      <c r="I19" s="109"/>
      <c r="J19" s="75">
        <f t="shared" si="2"/>
        <v>0</v>
      </c>
      <c r="K19" s="75">
        <f t="shared" si="3"/>
        <v>0</v>
      </c>
      <c r="L19" s="109"/>
      <c r="M19" s="110"/>
      <c r="N19" s="852"/>
    </row>
    <row r="20" spans="1:14" ht="12.4" customHeight="1" x14ac:dyDescent="0.25">
      <c r="A20" s="596" t="s">
        <v>1601</v>
      </c>
      <c r="B20" s="73"/>
      <c r="C20" s="109"/>
      <c r="D20" s="109"/>
      <c r="E20" s="109"/>
      <c r="F20" s="109"/>
      <c r="G20" s="109"/>
      <c r="H20" s="109"/>
      <c r="I20" s="109"/>
      <c r="J20" s="75">
        <f t="shared" si="2"/>
        <v>0</v>
      </c>
      <c r="K20" s="75">
        <f t="shared" si="3"/>
        <v>0</v>
      </c>
      <c r="L20" s="109"/>
      <c r="M20" s="110"/>
      <c r="N20" s="852"/>
    </row>
    <row r="21" spans="1:14" ht="12.75" customHeight="1" x14ac:dyDescent="0.25">
      <c r="A21" s="596" t="s">
        <v>1602</v>
      </c>
      <c r="B21" s="73"/>
      <c r="C21" s="109"/>
      <c r="D21" s="109"/>
      <c r="E21" s="109"/>
      <c r="F21" s="109"/>
      <c r="G21" s="109"/>
      <c r="H21" s="109"/>
      <c r="I21" s="109"/>
      <c r="J21" s="75">
        <f t="shared" si="2"/>
        <v>0</v>
      </c>
      <c r="K21" s="75">
        <f t="shared" si="3"/>
        <v>0</v>
      </c>
      <c r="L21" s="109"/>
      <c r="M21" s="110"/>
      <c r="N21" s="852"/>
    </row>
    <row r="22" spans="1:14" ht="12.75" customHeight="1" x14ac:dyDescent="0.25">
      <c r="A22" s="596" t="s">
        <v>1603</v>
      </c>
      <c r="B22" s="73"/>
      <c r="C22" s="109"/>
      <c r="D22" s="109"/>
      <c r="E22" s="109"/>
      <c r="F22" s="109"/>
      <c r="G22" s="109"/>
      <c r="H22" s="109"/>
      <c r="I22" s="109"/>
      <c r="J22" s="75">
        <f t="shared" si="2"/>
        <v>0</v>
      </c>
      <c r="K22" s="75">
        <f t="shared" si="3"/>
        <v>0</v>
      </c>
      <c r="L22" s="109"/>
      <c r="M22" s="110"/>
      <c r="N22" s="847"/>
    </row>
    <row r="23" spans="1:14" ht="12.75" customHeight="1" x14ac:dyDescent="0.25">
      <c r="A23" s="596" t="s">
        <v>1604</v>
      </c>
      <c r="B23" s="73"/>
      <c r="C23" s="109"/>
      <c r="D23" s="109"/>
      <c r="E23" s="109"/>
      <c r="F23" s="109"/>
      <c r="G23" s="109"/>
      <c r="H23" s="109"/>
      <c r="I23" s="109"/>
      <c r="J23" s="75">
        <f t="shared" si="2"/>
        <v>0</v>
      </c>
      <c r="K23" s="75">
        <f t="shared" si="3"/>
        <v>0</v>
      </c>
      <c r="L23" s="109"/>
      <c r="M23" s="110"/>
      <c r="N23" s="852"/>
    </row>
    <row r="24" spans="1:14" ht="12.75" customHeight="1" x14ac:dyDescent="0.25">
      <c r="A24" s="596" t="s">
        <v>1605</v>
      </c>
      <c r="B24" s="73"/>
      <c r="C24" s="109"/>
      <c r="D24" s="109"/>
      <c r="E24" s="109"/>
      <c r="F24" s="109"/>
      <c r="G24" s="109"/>
      <c r="H24" s="109"/>
      <c r="I24" s="109"/>
      <c r="J24" s="75">
        <f t="shared" si="2"/>
        <v>0</v>
      </c>
      <c r="K24" s="75">
        <f t="shared" si="3"/>
        <v>0</v>
      </c>
      <c r="L24" s="109"/>
      <c r="M24" s="110"/>
      <c r="N24" s="847"/>
    </row>
    <row r="25" spans="1:14" ht="12.75" customHeight="1" x14ac:dyDescent="0.25">
      <c r="A25" s="596" t="s">
        <v>1606</v>
      </c>
      <c r="B25" s="73"/>
      <c r="C25" s="109">
        <v>39925397</v>
      </c>
      <c r="D25" s="109"/>
      <c r="E25" s="109"/>
      <c r="F25" s="109"/>
      <c r="G25" s="109"/>
      <c r="H25" s="109"/>
      <c r="I25" s="109"/>
      <c r="J25" s="75">
        <f t="shared" si="2"/>
        <v>0</v>
      </c>
      <c r="K25" s="75">
        <f t="shared" si="3"/>
        <v>39925397</v>
      </c>
      <c r="L25" s="109">
        <v>38925397</v>
      </c>
      <c r="M25" s="110">
        <v>42548039</v>
      </c>
      <c r="N25" s="852"/>
    </row>
    <row r="26" spans="1:14" ht="12.75" customHeight="1" x14ac:dyDescent="0.25">
      <c r="A26" s="596" t="s">
        <v>1607</v>
      </c>
      <c r="B26" s="73"/>
      <c r="C26" s="109"/>
      <c r="D26" s="109"/>
      <c r="E26" s="109"/>
      <c r="F26" s="109"/>
      <c r="G26" s="109"/>
      <c r="H26" s="109"/>
      <c r="I26" s="109"/>
      <c r="J26" s="75">
        <f t="shared" si="2"/>
        <v>0</v>
      </c>
      <c r="K26" s="75">
        <f t="shared" si="3"/>
        <v>0</v>
      </c>
      <c r="L26" s="109"/>
      <c r="M26" s="110"/>
      <c r="N26" s="847"/>
    </row>
    <row r="27" spans="1:14" ht="12.75" customHeight="1" x14ac:dyDescent="0.25">
      <c r="A27" s="596" t="s">
        <v>1594</v>
      </c>
      <c r="B27" s="73"/>
      <c r="C27" s="109"/>
      <c r="D27" s="109"/>
      <c r="E27" s="109"/>
      <c r="F27" s="109"/>
      <c r="G27" s="109"/>
      <c r="H27" s="109"/>
      <c r="I27" s="109"/>
      <c r="J27" s="75">
        <f t="shared" si="2"/>
        <v>0</v>
      </c>
      <c r="K27" s="75">
        <f t="shared" si="3"/>
        <v>0</v>
      </c>
      <c r="L27" s="109"/>
      <c r="M27" s="110"/>
      <c r="N27" s="852"/>
    </row>
    <row r="28" spans="1:14" ht="12.75" customHeight="1" x14ac:dyDescent="0.25">
      <c r="A28" s="597" t="s">
        <v>1608</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2"/>
    </row>
    <row r="29" spans="1:14" ht="12.75" customHeight="1" x14ac:dyDescent="0.25">
      <c r="A29" s="596" t="s">
        <v>1609</v>
      </c>
      <c r="B29" s="73"/>
      <c r="C29" s="109"/>
      <c r="D29" s="109"/>
      <c r="E29" s="109"/>
      <c r="F29" s="109"/>
      <c r="G29" s="109"/>
      <c r="H29" s="109"/>
      <c r="I29" s="109"/>
      <c r="J29" s="75">
        <f t="shared" si="2"/>
        <v>0</v>
      </c>
      <c r="K29" s="75">
        <f t="shared" si="3"/>
        <v>0</v>
      </c>
      <c r="L29" s="109"/>
      <c r="M29" s="110"/>
      <c r="N29" s="852"/>
    </row>
    <row r="30" spans="1:14" ht="12.4" customHeight="1" x14ac:dyDescent="0.25">
      <c r="A30" s="596" t="s">
        <v>1610</v>
      </c>
      <c r="B30" s="73"/>
      <c r="C30" s="109"/>
      <c r="D30" s="109"/>
      <c r="E30" s="109"/>
      <c r="F30" s="109"/>
      <c r="G30" s="109"/>
      <c r="H30" s="109"/>
      <c r="I30" s="109"/>
      <c r="J30" s="75">
        <f t="shared" si="2"/>
        <v>0</v>
      </c>
      <c r="K30" s="75">
        <f t="shared" si="3"/>
        <v>0</v>
      </c>
      <c r="L30" s="109"/>
      <c r="M30" s="110"/>
      <c r="N30" s="852"/>
    </row>
    <row r="31" spans="1:14" ht="12.75" customHeight="1" x14ac:dyDescent="0.25">
      <c r="A31" s="596" t="s">
        <v>1611</v>
      </c>
      <c r="B31" s="73"/>
      <c r="C31" s="109"/>
      <c r="D31" s="109"/>
      <c r="E31" s="109"/>
      <c r="F31" s="109"/>
      <c r="G31" s="109"/>
      <c r="H31" s="109"/>
      <c r="I31" s="109"/>
      <c r="J31" s="75">
        <f t="shared" si="2"/>
        <v>0</v>
      </c>
      <c r="K31" s="75">
        <f t="shared" si="3"/>
        <v>0</v>
      </c>
      <c r="L31" s="109"/>
      <c r="M31" s="110"/>
      <c r="N31" s="852"/>
    </row>
    <row r="32" spans="1:14" ht="12.75" customHeight="1" x14ac:dyDescent="0.25">
      <c r="A32" s="596" t="s">
        <v>1612</v>
      </c>
      <c r="B32" s="73"/>
      <c r="C32" s="109"/>
      <c r="D32" s="109"/>
      <c r="E32" s="109"/>
      <c r="F32" s="109"/>
      <c r="G32" s="109"/>
      <c r="H32" s="109"/>
      <c r="I32" s="109"/>
      <c r="J32" s="75">
        <f t="shared" si="2"/>
        <v>0</v>
      </c>
      <c r="K32" s="75">
        <f t="shared" si="3"/>
        <v>0</v>
      </c>
      <c r="L32" s="109"/>
      <c r="M32" s="110"/>
      <c r="N32" s="847"/>
    </row>
    <row r="33" spans="1:14" ht="12.75" customHeight="1" x14ac:dyDescent="0.25">
      <c r="A33" s="596" t="s">
        <v>1613</v>
      </c>
      <c r="B33" s="73"/>
      <c r="C33" s="109"/>
      <c r="D33" s="109"/>
      <c r="E33" s="109"/>
      <c r="F33" s="109"/>
      <c r="G33" s="109"/>
      <c r="H33" s="109"/>
      <c r="I33" s="109"/>
      <c r="J33" s="75">
        <f t="shared" si="2"/>
        <v>0</v>
      </c>
      <c r="K33" s="75">
        <f t="shared" si="3"/>
        <v>0</v>
      </c>
      <c r="L33" s="109"/>
      <c r="M33" s="110"/>
      <c r="N33" s="852"/>
    </row>
    <row r="34" spans="1:14" ht="12.75" customHeight="1" x14ac:dyDescent="0.25">
      <c r="A34" s="596" t="s">
        <v>1614</v>
      </c>
      <c r="B34" s="73"/>
      <c r="C34" s="109"/>
      <c r="D34" s="109"/>
      <c r="E34" s="109"/>
      <c r="F34" s="109"/>
      <c r="G34" s="109"/>
      <c r="H34" s="109"/>
      <c r="I34" s="109"/>
      <c r="J34" s="75">
        <f t="shared" si="2"/>
        <v>0</v>
      </c>
      <c r="K34" s="75">
        <f t="shared" si="3"/>
        <v>0</v>
      </c>
      <c r="L34" s="109"/>
      <c r="M34" s="110"/>
      <c r="N34" s="847"/>
    </row>
    <row r="35" spans="1:14" ht="12.75" customHeight="1" x14ac:dyDescent="0.25">
      <c r="A35" s="596" t="s">
        <v>1615</v>
      </c>
      <c r="B35" s="73"/>
      <c r="C35" s="109"/>
      <c r="D35" s="109"/>
      <c r="E35" s="109"/>
      <c r="F35" s="109"/>
      <c r="G35" s="109"/>
      <c r="H35" s="109"/>
      <c r="I35" s="109"/>
      <c r="J35" s="75">
        <f t="shared" si="2"/>
        <v>0</v>
      </c>
      <c r="K35" s="75">
        <f t="shared" si="3"/>
        <v>0</v>
      </c>
      <c r="L35" s="109"/>
      <c r="M35" s="110"/>
      <c r="N35" s="852"/>
    </row>
    <row r="36" spans="1:14" ht="12.75" customHeight="1" x14ac:dyDescent="0.25">
      <c r="A36" s="596" t="s">
        <v>1616</v>
      </c>
      <c r="B36" s="73"/>
      <c r="C36" s="109"/>
      <c r="D36" s="109"/>
      <c r="E36" s="109"/>
      <c r="F36" s="109"/>
      <c r="G36" s="109"/>
      <c r="H36" s="109"/>
      <c r="I36" s="109"/>
      <c r="J36" s="75">
        <f t="shared" si="2"/>
        <v>0</v>
      </c>
      <c r="K36" s="75">
        <f t="shared" si="3"/>
        <v>0</v>
      </c>
      <c r="L36" s="109"/>
      <c r="M36" s="110"/>
      <c r="N36" s="847"/>
    </row>
    <row r="37" spans="1:14" ht="12.75" customHeight="1" x14ac:dyDescent="0.25">
      <c r="A37" s="596" t="s">
        <v>1617</v>
      </c>
      <c r="B37" s="73"/>
      <c r="C37" s="109"/>
      <c r="D37" s="109"/>
      <c r="E37" s="109"/>
      <c r="F37" s="109"/>
      <c r="G37" s="109"/>
      <c r="H37" s="109"/>
      <c r="I37" s="109"/>
      <c r="J37" s="75">
        <f t="shared" si="2"/>
        <v>0</v>
      </c>
      <c r="K37" s="75">
        <f t="shared" si="3"/>
        <v>0</v>
      </c>
      <c r="L37" s="109"/>
      <c r="M37" s="110"/>
      <c r="N37" s="852"/>
    </row>
    <row r="38" spans="1:14" ht="12.75" customHeight="1" x14ac:dyDescent="0.25">
      <c r="A38" s="596" t="s">
        <v>1594</v>
      </c>
      <c r="B38" s="73"/>
      <c r="C38" s="389"/>
      <c r="D38" s="109"/>
      <c r="E38" s="109"/>
      <c r="F38" s="109"/>
      <c r="G38" s="109"/>
      <c r="H38" s="109"/>
      <c r="I38" s="109"/>
      <c r="J38" s="75">
        <f t="shared" si="2"/>
        <v>0</v>
      </c>
      <c r="K38" s="75">
        <f t="shared" si="3"/>
        <v>0</v>
      </c>
      <c r="L38" s="109"/>
      <c r="M38" s="110"/>
      <c r="N38" s="852"/>
    </row>
    <row r="39" spans="1:14" ht="12.75" customHeight="1" x14ac:dyDescent="0.25">
      <c r="A39" s="597" t="s">
        <v>1618</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1619</v>
      </c>
      <c r="B40" s="73"/>
      <c r="C40" s="389"/>
      <c r="D40" s="109"/>
      <c r="E40" s="109"/>
      <c r="F40" s="109"/>
      <c r="G40" s="109"/>
      <c r="H40" s="109"/>
      <c r="I40" s="109"/>
      <c r="J40" s="75">
        <f t="shared" si="2"/>
        <v>0</v>
      </c>
      <c r="K40" s="75">
        <f t="shared" si="3"/>
        <v>0</v>
      </c>
      <c r="L40" s="109"/>
      <c r="M40" s="110"/>
      <c r="N40" s="847"/>
    </row>
    <row r="41" spans="1:14" ht="12.75" customHeight="1" x14ac:dyDescent="0.25">
      <c r="A41" s="596" t="s">
        <v>484</v>
      </c>
      <c r="B41" s="73"/>
      <c r="C41" s="389"/>
      <c r="D41" s="109"/>
      <c r="E41" s="109"/>
      <c r="F41" s="109"/>
      <c r="G41" s="109"/>
      <c r="H41" s="109"/>
      <c r="I41" s="109"/>
      <c r="J41" s="75">
        <f t="shared" si="2"/>
        <v>0</v>
      </c>
      <c r="K41" s="75">
        <f t="shared" si="3"/>
        <v>0</v>
      </c>
      <c r="L41" s="109"/>
      <c r="M41" s="110"/>
      <c r="N41" s="847"/>
    </row>
    <row r="42" spans="1:14" ht="12.75" customHeight="1" x14ac:dyDescent="0.25">
      <c r="A42" s="596" t="s">
        <v>1620</v>
      </c>
      <c r="B42" s="73"/>
      <c r="C42" s="389"/>
      <c r="D42" s="109"/>
      <c r="E42" s="109"/>
      <c r="F42" s="109"/>
      <c r="G42" s="109"/>
      <c r="H42" s="109"/>
      <c r="I42" s="109"/>
      <c r="J42" s="75">
        <f t="shared" si="2"/>
        <v>0</v>
      </c>
      <c r="K42" s="75">
        <f t="shared" si="3"/>
        <v>0</v>
      </c>
      <c r="L42" s="109"/>
      <c r="M42" s="110"/>
      <c r="N42" s="852"/>
    </row>
    <row r="43" spans="1:14" ht="12.75" customHeight="1" x14ac:dyDescent="0.25">
      <c r="A43" s="596" t="s">
        <v>1621</v>
      </c>
      <c r="B43" s="73"/>
      <c r="C43" s="389"/>
      <c r="D43" s="109"/>
      <c r="E43" s="109"/>
      <c r="F43" s="109"/>
      <c r="G43" s="109"/>
      <c r="H43" s="109"/>
      <c r="I43" s="109"/>
      <c r="J43" s="75">
        <f t="shared" si="2"/>
        <v>0</v>
      </c>
      <c r="K43" s="75">
        <f t="shared" si="3"/>
        <v>0</v>
      </c>
      <c r="L43" s="109"/>
      <c r="M43" s="110"/>
      <c r="N43" s="852"/>
    </row>
    <row r="44" spans="1:14" ht="12.75" customHeight="1" x14ac:dyDescent="0.25">
      <c r="A44" s="596" t="s">
        <v>1622</v>
      </c>
      <c r="B44" s="73"/>
      <c r="C44" s="389"/>
      <c r="D44" s="109"/>
      <c r="E44" s="109"/>
      <c r="F44" s="109"/>
      <c r="G44" s="109"/>
      <c r="H44" s="109"/>
      <c r="I44" s="109"/>
      <c r="J44" s="75">
        <f t="shared" si="2"/>
        <v>0</v>
      </c>
      <c r="K44" s="75">
        <f t="shared" si="3"/>
        <v>0</v>
      </c>
      <c r="L44" s="109"/>
      <c r="M44" s="110"/>
      <c r="N44" s="847"/>
    </row>
    <row r="45" spans="1:14" ht="12.75" customHeight="1" x14ac:dyDescent="0.25">
      <c r="A45" s="596" t="s">
        <v>1594</v>
      </c>
      <c r="B45" s="73"/>
      <c r="C45" s="389"/>
      <c r="D45" s="109"/>
      <c r="E45" s="109"/>
      <c r="F45" s="109"/>
      <c r="G45" s="109"/>
      <c r="H45" s="109"/>
      <c r="I45" s="109"/>
      <c r="J45" s="75">
        <f t="shared" si="2"/>
        <v>0</v>
      </c>
      <c r="K45" s="75">
        <f t="shared" si="3"/>
        <v>0</v>
      </c>
      <c r="L45" s="109"/>
      <c r="M45" s="110"/>
      <c r="N45" s="852"/>
    </row>
    <row r="46" spans="1:14" ht="12.75" customHeight="1" x14ac:dyDescent="0.25">
      <c r="A46" s="597" t="s">
        <v>1623</v>
      </c>
      <c r="B46" s="73"/>
      <c r="C46" s="1135">
        <f>SUM(C47:C53)</f>
        <v>911255</v>
      </c>
      <c r="D46" s="132">
        <f t="shared" ref="D46:M46" si="8">SUM(D47:D53)</f>
        <v>0</v>
      </c>
      <c r="E46" s="132">
        <f t="shared" si="8"/>
        <v>0</v>
      </c>
      <c r="F46" s="132">
        <f t="shared" si="8"/>
        <v>0</v>
      </c>
      <c r="G46" s="132">
        <f t="shared" si="8"/>
        <v>0</v>
      </c>
      <c r="H46" s="132">
        <f t="shared" si="8"/>
        <v>0</v>
      </c>
      <c r="I46" s="132">
        <f t="shared" si="8"/>
        <v>0</v>
      </c>
      <c r="J46" s="75">
        <f t="shared" si="2"/>
        <v>0</v>
      </c>
      <c r="K46" s="75">
        <f t="shared" si="3"/>
        <v>911255</v>
      </c>
      <c r="L46" s="132">
        <f t="shared" si="8"/>
        <v>911255</v>
      </c>
      <c r="M46" s="133">
        <f t="shared" si="8"/>
        <v>1056993</v>
      </c>
      <c r="N46" s="128"/>
    </row>
    <row r="47" spans="1:14" ht="12.75" customHeight="1" x14ac:dyDescent="0.25">
      <c r="A47" s="596" t="s">
        <v>1624</v>
      </c>
      <c r="B47" s="73"/>
      <c r="C47" s="389">
        <v>864256</v>
      </c>
      <c r="D47" s="109"/>
      <c r="E47" s="109"/>
      <c r="F47" s="109"/>
      <c r="G47" s="109"/>
      <c r="H47" s="109"/>
      <c r="I47" s="109"/>
      <c r="J47" s="75">
        <f t="shared" si="2"/>
        <v>0</v>
      </c>
      <c r="K47" s="75">
        <f t="shared" si="3"/>
        <v>864256</v>
      </c>
      <c r="L47" s="109">
        <v>864256</v>
      </c>
      <c r="M47" s="110">
        <v>864256</v>
      </c>
      <c r="N47" s="847"/>
    </row>
    <row r="48" spans="1:14" ht="12.75" customHeight="1" x14ac:dyDescent="0.25">
      <c r="A48" s="596" t="s">
        <v>1625</v>
      </c>
      <c r="B48" s="73"/>
      <c r="C48" s="389"/>
      <c r="D48" s="109"/>
      <c r="E48" s="109"/>
      <c r="F48" s="109"/>
      <c r="G48" s="109"/>
      <c r="H48" s="109"/>
      <c r="I48" s="109"/>
      <c r="J48" s="75">
        <f t="shared" si="2"/>
        <v>0</v>
      </c>
      <c r="K48" s="75">
        <f t="shared" si="3"/>
        <v>0</v>
      </c>
      <c r="L48" s="109"/>
      <c r="M48" s="110"/>
      <c r="N48" s="847"/>
    </row>
    <row r="49" spans="1:14" ht="12.75" customHeight="1" x14ac:dyDescent="0.25">
      <c r="A49" s="596" t="s">
        <v>1626</v>
      </c>
      <c r="B49" s="73"/>
      <c r="C49" s="389"/>
      <c r="D49" s="109"/>
      <c r="E49" s="109"/>
      <c r="F49" s="109"/>
      <c r="G49" s="109"/>
      <c r="H49" s="109"/>
      <c r="I49" s="109"/>
      <c r="J49" s="75">
        <f t="shared" si="2"/>
        <v>0</v>
      </c>
      <c r="K49" s="75">
        <f t="shared" si="3"/>
        <v>0</v>
      </c>
      <c r="L49" s="109"/>
      <c r="M49" s="110"/>
      <c r="N49" s="852"/>
    </row>
    <row r="50" spans="1:14" ht="12.75" customHeight="1" x14ac:dyDescent="0.25">
      <c r="A50" s="596" t="s">
        <v>1627</v>
      </c>
      <c r="B50" s="73"/>
      <c r="C50" s="389"/>
      <c r="D50" s="109"/>
      <c r="E50" s="109"/>
      <c r="F50" s="109"/>
      <c r="G50" s="109"/>
      <c r="H50" s="109"/>
      <c r="I50" s="109"/>
      <c r="J50" s="75">
        <f t="shared" si="2"/>
        <v>0</v>
      </c>
      <c r="K50" s="75">
        <f t="shared" si="3"/>
        <v>0</v>
      </c>
      <c r="L50" s="109"/>
      <c r="M50" s="110"/>
      <c r="N50" s="852"/>
    </row>
    <row r="51" spans="1:14" ht="12.75" customHeight="1" x14ac:dyDescent="0.25">
      <c r="A51" s="596" t="s">
        <v>1628</v>
      </c>
      <c r="B51" s="73"/>
      <c r="C51" s="389"/>
      <c r="D51" s="109"/>
      <c r="E51" s="109"/>
      <c r="F51" s="109"/>
      <c r="G51" s="109"/>
      <c r="H51" s="109"/>
      <c r="I51" s="109"/>
      <c r="J51" s="75">
        <f t="shared" si="2"/>
        <v>0</v>
      </c>
      <c r="K51" s="75">
        <f t="shared" si="3"/>
        <v>0</v>
      </c>
      <c r="L51" s="109"/>
      <c r="M51" s="110"/>
      <c r="N51" s="852"/>
    </row>
    <row r="52" spans="1:14" ht="12.75" customHeight="1" x14ac:dyDescent="0.25">
      <c r="A52" s="596" t="s">
        <v>1629</v>
      </c>
      <c r="B52" s="73"/>
      <c r="C52" s="389"/>
      <c r="D52" s="109"/>
      <c r="E52" s="109"/>
      <c r="F52" s="109"/>
      <c r="G52" s="109"/>
      <c r="H52" s="109"/>
      <c r="I52" s="109"/>
      <c r="J52" s="75">
        <f t="shared" si="2"/>
        <v>0</v>
      </c>
      <c r="K52" s="75">
        <f t="shared" si="3"/>
        <v>0</v>
      </c>
      <c r="L52" s="109"/>
      <c r="M52" s="110"/>
      <c r="N52" s="847"/>
    </row>
    <row r="53" spans="1:14" ht="12.75" customHeight="1" x14ac:dyDescent="0.25">
      <c r="A53" s="596" t="s">
        <v>1594</v>
      </c>
      <c r="B53" s="73"/>
      <c r="C53" s="389">
        <v>46999</v>
      </c>
      <c r="D53" s="109"/>
      <c r="E53" s="109"/>
      <c r="F53" s="109"/>
      <c r="G53" s="109"/>
      <c r="H53" s="109"/>
      <c r="I53" s="109"/>
      <c r="J53" s="75">
        <f t="shared" si="2"/>
        <v>0</v>
      </c>
      <c r="K53" s="75">
        <f t="shared" si="3"/>
        <v>46999</v>
      </c>
      <c r="L53" s="109">
        <v>46999</v>
      </c>
      <c r="M53" s="110">
        <v>192737</v>
      </c>
      <c r="N53" s="852"/>
    </row>
    <row r="54" spans="1:14" ht="12.75" customHeight="1" x14ac:dyDescent="0.25">
      <c r="A54" s="595" t="s">
        <v>1630</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1631</v>
      </c>
      <c r="B55" s="73"/>
      <c r="C55" s="389"/>
      <c r="D55" s="109"/>
      <c r="E55" s="109"/>
      <c r="F55" s="109"/>
      <c r="G55" s="109"/>
      <c r="H55" s="109"/>
      <c r="I55" s="109"/>
      <c r="J55" s="75">
        <f t="shared" si="2"/>
        <v>0</v>
      </c>
      <c r="K55" s="75">
        <f t="shared" si="3"/>
        <v>0</v>
      </c>
      <c r="L55" s="109"/>
      <c r="M55" s="110"/>
      <c r="N55" s="847"/>
    </row>
    <row r="56" spans="1:14" ht="12.75" customHeight="1" x14ac:dyDescent="0.25">
      <c r="A56" s="596" t="s">
        <v>1632</v>
      </c>
      <c r="B56" s="73"/>
      <c r="C56" s="389"/>
      <c r="D56" s="109"/>
      <c r="E56" s="109"/>
      <c r="F56" s="109"/>
      <c r="G56" s="109"/>
      <c r="H56" s="109"/>
      <c r="I56" s="109"/>
      <c r="J56" s="75">
        <f t="shared" si="2"/>
        <v>0</v>
      </c>
      <c r="K56" s="75">
        <f t="shared" si="3"/>
        <v>0</v>
      </c>
      <c r="L56" s="109"/>
      <c r="M56" s="110"/>
      <c r="N56" s="847"/>
    </row>
    <row r="57" spans="1:14" ht="12.75" customHeight="1" x14ac:dyDescent="0.25">
      <c r="A57" s="596" t="s">
        <v>1633</v>
      </c>
      <c r="B57" s="73"/>
      <c r="C57" s="389"/>
      <c r="D57" s="109"/>
      <c r="E57" s="109"/>
      <c r="F57" s="109"/>
      <c r="G57" s="109"/>
      <c r="H57" s="109"/>
      <c r="I57" s="109"/>
      <c r="J57" s="75">
        <f t="shared" si="2"/>
        <v>0</v>
      </c>
      <c r="K57" s="75">
        <f t="shared" si="3"/>
        <v>0</v>
      </c>
      <c r="L57" s="109"/>
      <c r="M57" s="110"/>
      <c r="N57" s="852"/>
    </row>
    <row r="58" spans="1:14" ht="12.75" customHeight="1" x14ac:dyDescent="0.25">
      <c r="A58" s="596" t="s">
        <v>1596</v>
      </c>
      <c r="B58" s="73"/>
      <c r="C58" s="389"/>
      <c r="D58" s="109"/>
      <c r="E58" s="109"/>
      <c r="F58" s="109"/>
      <c r="G58" s="109"/>
      <c r="H58" s="109"/>
      <c r="I58" s="109"/>
      <c r="J58" s="75">
        <f t="shared" si="2"/>
        <v>0</v>
      </c>
      <c r="K58" s="75">
        <f t="shared" si="3"/>
        <v>0</v>
      </c>
      <c r="L58" s="109"/>
      <c r="M58" s="110"/>
      <c r="N58" s="852"/>
    </row>
    <row r="59" spans="1:14" ht="12.75" customHeight="1" x14ac:dyDescent="0.25">
      <c r="A59" s="596" t="s">
        <v>1597</v>
      </c>
      <c r="B59" s="73"/>
      <c r="C59" s="389"/>
      <c r="D59" s="109"/>
      <c r="E59" s="109"/>
      <c r="F59" s="109"/>
      <c r="G59" s="109"/>
      <c r="H59" s="109"/>
      <c r="I59" s="109"/>
      <c r="J59" s="75">
        <f t="shared" si="2"/>
        <v>0</v>
      </c>
      <c r="K59" s="75">
        <f t="shared" si="3"/>
        <v>0</v>
      </c>
      <c r="L59" s="109"/>
      <c r="M59" s="110"/>
      <c r="N59" s="852"/>
    </row>
    <row r="60" spans="1:14" ht="12.75" customHeight="1" x14ac:dyDescent="0.25">
      <c r="A60" s="596" t="s">
        <v>1598</v>
      </c>
      <c r="B60" s="73"/>
      <c r="C60" s="389"/>
      <c r="D60" s="109"/>
      <c r="E60" s="109"/>
      <c r="F60" s="109"/>
      <c r="G60" s="109"/>
      <c r="H60" s="109"/>
      <c r="I60" s="109"/>
      <c r="J60" s="75">
        <f t="shared" si="2"/>
        <v>0</v>
      </c>
      <c r="K60" s="75">
        <f t="shared" si="3"/>
        <v>0</v>
      </c>
      <c r="L60" s="109"/>
      <c r="M60" s="110"/>
      <c r="N60" s="852"/>
    </row>
    <row r="61" spans="1:14" ht="12.75" customHeight="1" x14ac:dyDescent="0.25">
      <c r="A61" s="596" t="s">
        <v>1604</v>
      </c>
      <c r="B61" s="73"/>
      <c r="C61" s="389"/>
      <c r="D61" s="109"/>
      <c r="E61" s="109"/>
      <c r="F61" s="109"/>
      <c r="G61" s="109"/>
      <c r="H61" s="109"/>
      <c r="I61" s="109"/>
      <c r="J61" s="75">
        <f t="shared" si="2"/>
        <v>0</v>
      </c>
      <c r="K61" s="75">
        <f t="shared" si="3"/>
        <v>0</v>
      </c>
      <c r="L61" s="109"/>
      <c r="M61" s="110"/>
      <c r="N61" s="852"/>
    </row>
    <row r="62" spans="1:14" ht="12.75" customHeight="1" x14ac:dyDescent="0.25">
      <c r="A62" s="596" t="s">
        <v>1607</v>
      </c>
      <c r="B62" s="73"/>
      <c r="C62" s="389"/>
      <c r="D62" s="109"/>
      <c r="E62" s="109"/>
      <c r="F62" s="109"/>
      <c r="G62" s="109"/>
      <c r="H62" s="109"/>
      <c r="I62" s="109"/>
      <c r="J62" s="75">
        <f t="shared" si="2"/>
        <v>0</v>
      </c>
      <c r="K62" s="75">
        <f t="shared" si="3"/>
        <v>0</v>
      </c>
      <c r="L62" s="109"/>
      <c r="M62" s="110"/>
      <c r="N62" s="847"/>
    </row>
    <row r="63" spans="1:14" ht="12.75" customHeight="1" x14ac:dyDescent="0.25">
      <c r="A63" s="596" t="s">
        <v>1594</v>
      </c>
      <c r="B63" s="73"/>
      <c r="C63" s="389"/>
      <c r="D63" s="109"/>
      <c r="E63" s="109"/>
      <c r="F63" s="109"/>
      <c r="G63" s="109"/>
      <c r="H63" s="109"/>
      <c r="I63" s="109"/>
      <c r="J63" s="75">
        <f t="shared" si="2"/>
        <v>0</v>
      </c>
      <c r="K63" s="75">
        <f t="shared" si="3"/>
        <v>0</v>
      </c>
      <c r="L63" s="109"/>
      <c r="M63" s="110"/>
      <c r="N63" s="852"/>
    </row>
    <row r="64" spans="1:14" ht="12.75" customHeight="1" x14ac:dyDescent="0.25">
      <c r="A64" s="597" t="s">
        <v>1634</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1635</v>
      </c>
      <c r="B65" s="73"/>
      <c r="C65" s="389"/>
      <c r="D65" s="109"/>
      <c r="E65" s="109"/>
      <c r="F65" s="109"/>
      <c r="G65" s="109"/>
      <c r="H65" s="109"/>
      <c r="I65" s="109"/>
      <c r="J65" s="75">
        <f t="shared" si="2"/>
        <v>0</v>
      </c>
      <c r="K65" s="75">
        <f t="shared" si="3"/>
        <v>0</v>
      </c>
      <c r="L65" s="109"/>
      <c r="M65" s="110"/>
      <c r="N65" s="847"/>
    </row>
    <row r="66" spans="1:14" ht="12.75" customHeight="1" x14ac:dyDescent="0.25">
      <c r="A66" s="596" t="s">
        <v>1636</v>
      </c>
      <c r="B66" s="73"/>
      <c r="C66" s="389"/>
      <c r="D66" s="109"/>
      <c r="E66" s="109"/>
      <c r="F66" s="109"/>
      <c r="G66" s="109"/>
      <c r="H66" s="109"/>
      <c r="I66" s="109"/>
      <c r="J66" s="75">
        <f t="shared" si="2"/>
        <v>0</v>
      </c>
      <c r="K66" s="75">
        <f t="shared" si="3"/>
        <v>0</v>
      </c>
      <c r="L66" s="109"/>
      <c r="M66" s="110"/>
      <c r="N66" s="847"/>
    </row>
    <row r="67" spans="1:14" ht="12.75" customHeight="1" x14ac:dyDescent="0.25">
      <c r="A67" s="596" t="s">
        <v>1637</v>
      </c>
      <c r="B67" s="73"/>
      <c r="C67" s="389"/>
      <c r="D67" s="109"/>
      <c r="E67" s="109"/>
      <c r="F67" s="109"/>
      <c r="G67" s="109"/>
      <c r="H67" s="109"/>
      <c r="I67" s="109"/>
      <c r="J67" s="75">
        <f t="shared" si="2"/>
        <v>0</v>
      </c>
      <c r="K67" s="75">
        <f t="shared" si="3"/>
        <v>0</v>
      </c>
      <c r="L67" s="109"/>
      <c r="M67" s="110"/>
      <c r="N67" s="852"/>
    </row>
    <row r="68" spans="1:14" ht="12.75" customHeight="1" x14ac:dyDescent="0.25">
      <c r="A68" s="596" t="s">
        <v>1638</v>
      </c>
      <c r="B68" s="73"/>
      <c r="C68" s="389"/>
      <c r="D68" s="109"/>
      <c r="E68" s="109"/>
      <c r="F68" s="109"/>
      <c r="G68" s="109"/>
      <c r="H68" s="109"/>
      <c r="I68" s="109"/>
      <c r="J68" s="75">
        <f t="shared" si="2"/>
        <v>0</v>
      </c>
      <c r="K68" s="75">
        <f t="shared" si="3"/>
        <v>0</v>
      </c>
      <c r="L68" s="109"/>
      <c r="M68" s="110"/>
      <c r="N68" s="847"/>
    </row>
    <row r="69" spans="1:14" ht="12.75" customHeight="1" x14ac:dyDescent="0.25">
      <c r="A69" s="596" t="s">
        <v>1594</v>
      </c>
      <c r="B69" s="73"/>
      <c r="C69" s="389"/>
      <c r="D69" s="109"/>
      <c r="E69" s="109"/>
      <c r="F69" s="109"/>
      <c r="G69" s="109"/>
      <c r="H69" s="109"/>
      <c r="I69" s="109"/>
      <c r="J69" s="75">
        <f t="shared" si="2"/>
        <v>0</v>
      </c>
      <c r="K69" s="75">
        <f t="shared" si="3"/>
        <v>0</v>
      </c>
      <c r="L69" s="109"/>
      <c r="M69" s="110"/>
      <c r="N69" s="852"/>
    </row>
    <row r="70" spans="1:14" ht="12.75" customHeight="1" x14ac:dyDescent="0.25">
      <c r="A70" s="595" t="s">
        <v>1639</v>
      </c>
      <c r="B70" s="73"/>
      <c r="C70" s="1135">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2"/>
    </row>
    <row r="71" spans="1:14" ht="12.75" customHeight="1" x14ac:dyDescent="0.25">
      <c r="A71" s="596" t="s">
        <v>1640</v>
      </c>
      <c r="B71" s="73"/>
      <c r="C71" s="389"/>
      <c r="D71" s="109"/>
      <c r="E71" s="109"/>
      <c r="F71" s="109"/>
      <c r="G71" s="109"/>
      <c r="H71" s="109"/>
      <c r="I71" s="109"/>
      <c r="J71" s="75">
        <f t="shared" si="2"/>
        <v>0</v>
      </c>
      <c r="K71" s="75">
        <f t="shared" si="3"/>
        <v>0</v>
      </c>
      <c r="L71" s="109"/>
      <c r="M71" s="110"/>
      <c r="N71" s="852"/>
    </row>
    <row r="72" spans="1:14" ht="12.75" customHeight="1" x14ac:dyDescent="0.25">
      <c r="A72" s="596" t="s">
        <v>1641</v>
      </c>
      <c r="B72" s="73"/>
      <c r="C72" s="389"/>
      <c r="D72" s="109"/>
      <c r="E72" s="109"/>
      <c r="F72" s="109"/>
      <c r="G72" s="109"/>
      <c r="H72" s="109"/>
      <c r="I72" s="109"/>
      <c r="J72" s="75">
        <f t="shared" si="2"/>
        <v>0</v>
      </c>
      <c r="K72" s="75">
        <f t="shared" si="3"/>
        <v>0</v>
      </c>
      <c r="L72" s="109"/>
      <c r="M72" s="110"/>
      <c r="N72" s="852"/>
    </row>
    <row r="73" spans="1:14" ht="12.75" customHeight="1" x14ac:dyDescent="0.25">
      <c r="A73" s="596" t="s">
        <v>1642</v>
      </c>
      <c r="B73" s="73"/>
      <c r="C73" s="109"/>
      <c r="D73" s="109"/>
      <c r="E73" s="109"/>
      <c r="F73" s="109"/>
      <c r="G73" s="109"/>
      <c r="H73" s="109"/>
      <c r="I73" s="109"/>
      <c r="J73" s="75">
        <f t="shared" ref="J73:J136" si="12">SUM(E73:I73)</f>
        <v>0</v>
      </c>
      <c r="K73" s="75">
        <f t="shared" ref="K73:K136" si="13">IF(D73=0,C73+J73,D73+J73)</f>
        <v>0</v>
      </c>
      <c r="L73" s="109"/>
      <c r="M73" s="110"/>
      <c r="N73" s="852"/>
    </row>
    <row r="74" spans="1:14" ht="12.75" customHeight="1" x14ac:dyDescent="0.25">
      <c r="A74" s="596" t="s">
        <v>1594</v>
      </c>
      <c r="B74" s="73"/>
      <c r="C74" s="109"/>
      <c r="D74" s="109"/>
      <c r="E74" s="109"/>
      <c r="F74" s="109"/>
      <c r="G74" s="109"/>
      <c r="H74" s="109"/>
      <c r="I74" s="109"/>
      <c r="J74" s="75">
        <f t="shared" si="12"/>
        <v>0</v>
      </c>
      <c r="K74" s="75">
        <f t="shared" si="13"/>
        <v>0</v>
      </c>
      <c r="L74" s="109"/>
      <c r="M74" s="110"/>
      <c r="N74" s="852"/>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1643</v>
      </c>
      <c r="B76" s="73"/>
      <c r="C76" s="236">
        <f>+C77+C100</f>
        <v>2777897.25</v>
      </c>
      <c r="D76" s="237">
        <f>+D77+D100</f>
        <v>0</v>
      </c>
      <c r="E76" s="237">
        <f t="shared" ref="E76:M76" si="14">+E77+E100</f>
        <v>0</v>
      </c>
      <c r="F76" s="237">
        <f t="shared" si="14"/>
        <v>0</v>
      </c>
      <c r="G76" s="237">
        <f t="shared" si="14"/>
        <v>0</v>
      </c>
      <c r="H76" s="237">
        <f t="shared" si="14"/>
        <v>0</v>
      </c>
      <c r="I76" s="237">
        <f t="shared" si="14"/>
        <v>0</v>
      </c>
      <c r="J76" s="145">
        <f t="shared" si="12"/>
        <v>0</v>
      </c>
      <c r="K76" s="145">
        <f t="shared" si="13"/>
        <v>2777897.25</v>
      </c>
      <c r="L76" s="237">
        <f t="shared" si="14"/>
        <v>2817342.5999999996</v>
      </c>
      <c r="M76" s="238">
        <f t="shared" si="14"/>
        <v>2885337.5999999996</v>
      </c>
      <c r="N76" s="128"/>
    </row>
    <row r="77" spans="1:14" ht="12.75" customHeight="1" x14ac:dyDescent="0.25">
      <c r="A77" s="595" t="s">
        <v>1644</v>
      </c>
      <c r="B77" s="73"/>
      <c r="C77" s="132">
        <f>SUM(C78:C99)</f>
        <v>1924557.45</v>
      </c>
      <c r="D77" s="132">
        <f>SUM(D78:D99)</f>
        <v>0</v>
      </c>
      <c r="E77" s="132">
        <f t="shared" ref="E77:M77" si="15">SUM(E78:E99)</f>
        <v>0</v>
      </c>
      <c r="F77" s="132">
        <f t="shared" si="15"/>
        <v>0</v>
      </c>
      <c r="G77" s="132">
        <f t="shared" si="15"/>
        <v>0</v>
      </c>
      <c r="H77" s="132">
        <f t="shared" si="15"/>
        <v>0</v>
      </c>
      <c r="I77" s="132">
        <f t="shared" si="15"/>
        <v>0</v>
      </c>
      <c r="J77" s="75">
        <f t="shared" si="12"/>
        <v>0</v>
      </c>
      <c r="K77" s="75">
        <f t="shared" si="13"/>
        <v>1924557.45</v>
      </c>
      <c r="L77" s="132">
        <f t="shared" si="15"/>
        <v>1951885.4</v>
      </c>
      <c r="M77" s="133">
        <f t="shared" si="15"/>
        <v>1997984.4</v>
      </c>
      <c r="N77" s="852"/>
    </row>
    <row r="78" spans="1:14" ht="12.75" customHeight="1" x14ac:dyDescent="0.25">
      <c r="A78" s="596" t="s">
        <v>1645</v>
      </c>
      <c r="B78" s="73"/>
      <c r="C78" s="130"/>
      <c r="D78" s="109"/>
      <c r="E78" s="109"/>
      <c r="F78" s="109"/>
      <c r="G78" s="109"/>
      <c r="H78" s="109"/>
      <c r="I78" s="109"/>
      <c r="J78" s="75">
        <f t="shared" si="12"/>
        <v>0</v>
      </c>
      <c r="K78" s="75">
        <f t="shared" si="13"/>
        <v>0</v>
      </c>
      <c r="L78" s="109"/>
      <c r="M78" s="110"/>
      <c r="N78" s="128"/>
    </row>
    <row r="79" spans="1:14" ht="12.75" customHeight="1" x14ac:dyDescent="0.25">
      <c r="A79" s="596" t="s">
        <v>1646</v>
      </c>
      <c r="B79" s="73"/>
      <c r="C79" s="130"/>
      <c r="D79" s="109"/>
      <c r="E79" s="109"/>
      <c r="F79" s="109"/>
      <c r="G79" s="109"/>
      <c r="H79" s="109"/>
      <c r="I79" s="109"/>
      <c r="J79" s="75">
        <f t="shared" si="12"/>
        <v>0</v>
      </c>
      <c r="K79" s="75">
        <f t="shared" si="13"/>
        <v>0</v>
      </c>
      <c r="L79" s="109"/>
      <c r="M79" s="110"/>
      <c r="N79" s="128"/>
    </row>
    <row r="80" spans="1:14" ht="12.75" customHeight="1" x14ac:dyDescent="0.25">
      <c r="A80" s="596" t="s">
        <v>1647</v>
      </c>
      <c r="B80" s="73"/>
      <c r="C80" s="130"/>
      <c r="D80" s="109"/>
      <c r="E80" s="109"/>
      <c r="F80" s="109"/>
      <c r="G80" s="109"/>
      <c r="H80" s="109"/>
      <c r="I80" s="109"/>
      <c r="J80" s="75">
        <f t="shared" si="12"/>
        <v>0</v>
      </c>
      <c r="K80" s="75">
        <f t="shared" si="13"/>
        <v>0</v>
      </c>
      <c r="L80" s="109"/>
      <c r="M80" s="110"/>
      <c r="N80" s="128"/>
    </row>
    <row r="81" spans="1:14" ht="12.75" customHeight="1" x14ac:dyDescent="0.25">
      <c r="A81" s="596" t="s">
        <v>1648</v>
      </c>
      <c r="B81" s="73"/>
      <c r="C81" s="130"/>
      <c r="D81" s="109"/>
      <c r="E81" s="109"/>
      <c r="F81" s="109"/>
      <c r="G81" s="109"/>
      <c r="H81" s="109"/>
      <c r="I81" s="109"/>
      <c r="J81" s="75">
        <f t="shared" si="12"/>
        <v>0</v>
      </c>
      <c r="K81" s="75">
        <f t="shared" si="13"/>
        <v>0</v>
      </c>
      <c r="L81" s="109"/>
      <c r="M81" s="110"/>
      <c r="N81" s="128"/>
    </row>
    <row r="82" spans="1:14" ht="12.75" customHeight="1" x14ac:dyDescent="0.25">
      <c r="A82" s="596" t="s">
        <v>1649</v>
      </c>
      <c r="B82" s="73"/>
      <c r="C82" s="130"/>
      <c r="D82" s="109"/>
      <c r="E82" s="109"/>
      <c r="F82" s="109"/>
      <c r="G82" s="109"/>
      <c r="H82" s="109"/>
      <c r="I82" s="109"/>
      <c r="J82" s="75">
        <f t="shared" si="12"/>
        <v>0</v>
      </c>
      <c r="K82" s="75">
        <f t="shared" si="13"/>
        <v>0</v>
      </c>
      <c r="L82" s="109"/>
      <c r="M82" s="110"/>
      <c r="N82" s="128"/>
    </row>
    <row r="83" spans="1:14" ht="12.75" customHeight="1" x14ac:dyDescent="0.25">
      <c r="A83" s="596" t="s">
        <v>1650</v>
      </c>
      <c r="B83" s="73"/>
      <c r="C83" s="130"/>
      <c r="D83" s="109"/>
      <c r="E83" s="109"/>
      <c r="F83" s="109"/>
      <c r="G83" s="109"/>
      <c r="H83" s="109"/>
      <c r="I83" s="109"/>
      <c r="J83" s="75">
        <f t="shared" si="12"/>
        <v>0</v>
      </c>
      <c r="K83" s="75">
        <f t="shared" si="13"/>
        <v>0</v>
      </c>
      <c r="L83" s="109"/>
      <c r="M83" s="110"/>
      <c r="N83" s="128"/>
    </row>
    <row r="84" spans="1:14" ht="12.75" customHeight="1" x14ac:dyDescent="0.25">
      <c r="A84" s="596" t="s">
        <v>1651</v>
      </c>
      <c r="B84" s="73"/>
      <c r="C84" s="130">
        <v>33980.699999999997</v>
      </c>
      <c r="D84" s="109"/>
      <c r="E84" s="109"/>
      <c r="F84" s="109"/>
      <c r="G84" s="109"/>
      <c r="H84" s="109"/>
      <c r="I84" s="109"/>
      <c r="J84" s="75">
        <f t="shared" si="12"/>
        <v>0</v>
      </c>
      <c r="K84" s="75">
        <f t="shared" si="13"/>
        <v>33980.699999999997</v>
      </c>
      <c r="L84" s="109">
        <v>34463.199999999997</v>
      </c>
      <c r="M84" s="110">
        <v>35335.199999999997</v>
      </c>
      <c r="N84" s="128"/>
    </row>
    <row r="85" spans="1:14" ht="12.75" customHeight="1" x14ac:dyDescent="0.25">
      <c r="A85" s="596" t="s">
        <v>1652</v>
      </c>
      <c r="B85" s="73"/>
      <c r="C85" s="130"/>
      <c r="D85" s="109"/>
      <c r="E85" s="109"/>
      <c r="F85" s="109"/>
      <c r="G85" s="109"/>
      <c r="H85" s="109"/>
      <c r="I85" s="109"/>
      <c r="J85" s="75">
        <f t="shared" si="12"/>
        <v>0</v>
      </c>
      <c r="K85" s="75">
        <f t="shared" si="13"/>
        <v>0</v>
      </c>
      <c r="L85" s="109"/>
      <c r="M85" s="110"/>
      <c r="N85" s="128"/>
    </row>
    <row r="86" spans="1:14" ht="12.75" customHeight="1" x14ac:dyDescent="0.25">
      <c r="A86" s="596" t="s">
        <v>1532</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v>113273.85</v>
      </c>
      <c r="D87" s="109"/>
      <c r="E87" s="109"/>
      <c r="F87" s="109"/>
      <c r="G87" s="109"/>
      <c r="H87" s="109"/>
      <c r="I87" s="109"/>
      <c r="J87" s="75">
        <f t="shared" si="12"/>
        <v>0</v>
      </c>
      <c r="K87" s="75">
        <f t="shared" si="13"/>
        <v>113273.85</v>
      </c>
      <c r="L87" s="109">
        <v>114882</v>
      </c>
      <c r="M87" s="110">
        <v>117788.9</v>
      </c>
      <c r="N87" s="128"/>
    </row>
    <row r="88" spans="1:14" ht="12.75" customHeight="1" x14ac:dyDescent="0.25">
      <c r="A88" s="596" t="s">
        <v>1653</v>
      </c>
      <c r="B88" s="73"/>
      <c r="C88" s="130">
        <v>42816.9</v>
      </c>
      <c r="D88" s="109"/>
      <c r="E88" s="109"/>
      <c r="F88" s="109"/>
      <c r="G88" s="109"/>
      <c r="H88" s="109"/>
      <c r="I88" s="109"/>
      <c r="J88" s="75">
        <f t="shared" si="12"/>
        <v>0</v>
      </c>
      <c r="K88" s="75">
        <f t="shared" si="13"/>
        <v>42816.9</v>
      </c>
      <c r="L88" s="109">
        <v>43424.9</v>
      </c>
      <c r="M88" s="110">
        <v>44523.6</v>
      </c>
      <c r="N88" s="128"/>
    </row>
    <row r="89" spans="1:14" ht="12.75" customHeight="1" x14ac:dyDescent="0.25">
      <c r="A89" s="596" t="s">
        <v>1654</v>
      </c>
      <c r="B89" s="73"/>
      <c r="C89" s="130">
        <v>7018</v>
      </c>
      <c r="D89" s="109"/>
      <c r="E89" s="109"/>
      <c r="F89" s="109"/>
      <c r="G89" s="109"/>
      <c r="H89" s="109"/>
      <c r="I89" s="109"/>
      <c r="J89" s="75">
        <f t="shared" si="12"/>
        <v>0</v>
      </c>
      <c r="K89" s="75">
        <f t="shared" si="13"/>
        <v>7018</v>
      </c>
      <c r="L89" s="109">
        <v>7117.6</v>
      </c>
      <c r="M89" s="110">
        <v>7297.7</v>
      </c>
      <c r="N89" s="128"/>
    </row>
    <row r="90" spans="1:14" ht="12.75" customHeight="1" x14ac:dyDescent="0.25">
      <c r="A90" s="596" t="s">
        <v>1655</v>
      </c>
      <c r="B90" s="73"/>
      <c r="C90" s="130">
        <v>128131</v>
      </c>
      <c r="D90" s="109"/>
      <c r="E90" s="109"/>
      <c r="F90" s="109"/>
      <c r="G90" s="109"/>
      <c r="H90" s="109"/>
      <c r="I90" s="109"/>
      <c r="J90" s="75">
        <f t="shared" si="12"/>
        <v>0</v>
      </c>
      <c r="K90" s="75">
        <f t="shared" si="13"/>
        <v>128131</v>
      </c>
      <c r="L90" s="109">
        <v>129950</v>
      </c>
      <c r="M90" s="110">
        <v>129953</v>
      </c>
      <c r="N90" s="128"/>
    </row>
    <row r="91" spans="1:14" ht="12.75" customHeight="1" x14ac:dyDescent="0.25">
      <c r="A91" s="596" t="s">
        <v>1656</v>
      </c>
      <c r="B91" s="73"/>
      <c r="C91" s="130"/>
      <c r="D91" s="109"/>
      <c r="E91" s="109"/>
      <c r="F91" s="109"/>
      <c r="G91" s="109"/>
      <c r="H91" s="109"/>
      <c r="I91" s="109"/>
      <c r="J91" s="75">
        <f t="shared" si="12"/>
        <v>0</v>
      </c>
      <c r="K91" s="75">
        <f t="shared" si="13"/>
        <v>0</v>
      </c>
      <c r="L91" s="109"/>
      <c r="M91" s="110"/>
      <c r="N91" s="128"/>
    </row>
    <row r="92" spans="1:14" ht="12.75" customHeight="1" x14ac:dyDescent="0.25">
      <c r="A92" s="596" t="s">
        <v>1657</v>
      </c>
      <c r="B92" s="73"/>
      <c r="C92" s="130"/>
      <c r="D92" s="109"/>
      <c r="E92" s="109"/>
      <c r="F92" s="109"/>
      <c r="G92" s="109"/>
      <c r="H92" s="109"/>
      <c r="I92" s="109"/>
      <c r="J92" s="75">
        <f t="shared" si="12"/>
        <v>0</v>
      </c>
      <c r="K92" s="75">
        <f t="shared" si="13"/>
        <v>0</v>
      </c>
      <c r="L92" s="109"/>
      <c r="M92" s="110"/>
      <c r="N92" s="128"/>
    </row>
    <row r="93" spans="1:14" ht="12.75" customHeight="1" x14ac:dyDescent="0.25">
      <c r="A93" s="596" t="s">
        <v>1658</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1659</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52"/>
    </row>
    <row r="97" spans="1:14" ht="12.75" customHeight="1" x14ac:dyDescent="0.25">
      <c r="A97" s="596" t="s">
        <v>1660</v>
      </c>
      <c r="B97" s="73"/>
      <c r="C97" s="130"/>
      <c r="D97" s="109"/>
      <c r="E97" s="109"/>
      <c r="F97" s="109"/>
      <c r="G97" s="109"/>
      <c r="H97" s="109"/>
      <c r="I97" s="109"/>
      <c r="J97" s="75">
        <f t="shared" si="12"/>
        <v>0</v>
      </c>
      <c r="K97" s="75">
        <f t="shared" si="13"/>
        <v>0</v>
      </c>
      <c r="L97" s="109"/>
      <c r="M97" s="110"/>
      <c r="N97" s="128"/>
    </row>
    <row r="98" spans="1:14" ht="12.75" customHeight="1" x14ac:dyDescent="0.25">
      <c r="A98" s="596" t="s">
        <v>1661</v>
      </c>
      <c r="B98" s="73"/>
      <c r="C98" s="130"/>
      <c r="D98" s="109"/>
      <c r="E98" s="109"/>
      <c r="F98" s="109"/>
      <c r="G98" s="109"/>
      <c r="H98" s="109"/>
      <c r="I98" s="109"/>
      <c r="J98" s="75">
        <f t="shared" si="12"/>
        <v>0</v>
      </c>
      <c r="K98" s="75">
        <f t="shared" si="13"/>
        <v>0</v>
      </c>
      <c r="L98" s="109"/>
      <c r="M98" s="110"/>
      <c r="N98" s="128"/>
    </row>
    <row r="99" spans="1:14" ht="12.75" customHeight="1" x14ac:dyDescent="0.25">
      <c r="A99" s="596" t="s">
        <v>1594</v>
      </c>
      <c r="B99" s="73"/>
      <c r="C99" s="130">
        <v>1599337</v>
      </c>
      <c r="D99" s="109"/>
      <c r="E99" s="109"/>
      <c r="F99" s="109"/>
      <c r="G99" s="109"/>
      <c r="H99" s="109"/>
      <c r="I99" s="109"/>
      <c r="J99" s="75">
        <f t="shared" si="12"/>
        <v>0</v>
      </c>
      <c r="K99" s="75">
        <f t="shared" si="13"/>
        <v>1599337</v>
      </c>
      <c r="L99" s="109">
        <v>1622047.7</v>
      </c>
      <c r="M99" s="110">
        <v>1663086</v>
      </c>
      <c r="N99" s="128"/>
    </row>
    <row r="100" spans="1:14" ht="10.15" customHeight="1" x14ac:dyDescent="0.25">
      <c r="A100" s="595" t="s">
        <v>1662</v>
      </c>
      <c r="B100" s="73"/>
      <c r="C100" s="140">
        <f>SUM(C101:C103)</f>
        <v>853339.8</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853339.8</v>
      </c>
      <c r="L100" s="141">
        <f t="shared" si="16"/>
        <v>865457.2</v>
      </c>
      <c r="M100" s="142">
        <f t="shared" si="16"/>
        <v>887353.2</v>
      </c>
      <c r="N100" s="128"/>
    </row>
    <row r="101" spans="1:14" ht="12.75" customHeight="1" x14ac:dyDescent="0.25">
      <c r="A101" s="596" t="s">
        <v>1663</v>
      </c>
      <c r="B101" s="73"/>
      <c r="C101" s="130">
        <v>853339.8</v>
      </c>
      <c r="D101" s="109"/>
      <c r="E101" s="109"/>
      <c r="F101" s="109"/>
      <c r="G101" s="109"/>
      <c r="H101" s="109"/>
      <c r="I101" s="109"/>
      <c r="J101" s="75">
        <f t="shared" si="12"/>
        <v>0</v>
      </c>
      <c r="K101" s="75">
        <f t="shared" si="13"/>
        <v>853339.8</v>
      </c>
      <c r="L101" s="109">
        <v>865457.2</v>
      </c>
      <c r="M101" s="110">
        <v>887353.2</v>
      </c>
      <c r="N101" s="128"/>
    </row>
    <row r="102" spans="1:14" ht="12.75" customHeight="1" x14ac:dyDescent="0.25">
      <c r="A102" s="596" t="s">
        <v>1664</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1594</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773</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1665</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1666</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1667</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1668</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1669</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39"/>
      <c r="B111" s="73"/>
      <c r="C111" s="74"/>
      <c r="D111" s="75"/>
      <c r="E111" s="75"/>
      <c r="F111" s="75"/>
      <c r="G111" s="75"/>
      <c r="H111" s="75"/>
      <c r="I111" s="75"/>
      <c r="J111" s="75"/>
      <c r="K111" s="75"/>
      <c r="L111" s="75"/>
      <c r="M111" s="76"/>
      <c r="N111" s="128"/>
    </row>
    <row r="112" spans="1:14" ht="12.75" customHeight="1" x14ac:dyDescent="0.25">
      <c r="A112" s="1240" t="s">
        <v>774</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1670</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1671</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1672</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1671</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1672</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0" t="s">
        <v>775</v>
      </c>
      <c r="B120" s="73"/>
      <c r="C120" s="140">
        <f>+C121+C133</f>
        <v>6867874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6867874</v>
      </c>
      <c r="L120" s="237">
        <f>+L121+L133</f>
        <v>6965397.9000000004</v>
      </c>
      <c r="M120" s="238">
        <f>+M121+M133</f>
        <v>7141622.5</v>
      </c>
      <c r="N120" s="128"/>
    </row>
    <row r="121" spans="1:14" ht="10.15" customHeight="1" x14ac:dyDescent="0.25">
      <c r="A121" s="595" t="s">
        <v>1674</v>
      </c>
      <c r="B121" s="73"/>
      <c r="C121" s="140">
        <f>SUM(C122:C132)</f>
        <v>6867874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6867874</v>
      </c>
      <c r="L121" s="141">
        <f t="shared" si="22"/>
        <v>6965397.9000000004</v>
      </c>
      <c r="M121" s="142">
        <f t="shared" si="22"/>
        <v>7141622.5</v>
      </c>
      <c r="N121" s="128"/>
    </row>
    <row r="122" spans="1:14" ht="12.75" customHeight="1" x14ac:dyDescent="0.25">
      <c r="A122" s="596" t="s">
        <v>1675</v>
      </c>
      <c r="B122" s="73"/>
      <c r="C122" s="130">
        <v>6867874</v>
      </c>
      <c r="D122" s="109"/>
      <c r="E122" s="109"/>
      <c r="F122" s="109"/>
      <c r="G122" s="109"/>
      <c r="H122" s="109"/>
      <c r="I122" s="109"/>
      <c r="J122" s="75">
        <f t="shared" si="12"/>
        <v>0</v>
      </c>
      <c r="K122" s="75">
        <f t="shared" si="13"/>
        <v>6867874</v>
      </c>
      <c r="L122" s="109">
        <v>6965397.9000000004</v>
      </c>
      <c r="M122" s="110">
        <v>7141622.5</v>
      </c>
      <c r="N122" s="128"/>
    </row>
    <row r="123" spans="1:14" ht="12.75" customHeight="1" x14ac:dyDescent="0.25">
      <c r="A123" s="596" t="s">
        <v>1676</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1677</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1678</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1679</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1680</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1681</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1682</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1683</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1684</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1594</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7" customFormat="1" ht="12.75" customHeight="1" x14ac:dyDescent="0.25">
      <c r="A134" s="596" t="s">
        <v>1685</v>
      </c>
      <c r="B134" s="1241"/>
      <c r="C134" s="1242"/>
      <c r="D134" s="1243"/>
      <c r="E134" s="1243"/>
      <c r="F134" s="1243"/>
      <c r="G134" s="1243"/>
      <c r="H134" s="1243"/>
      <c r="I134" s="1243"/>
      <c r="J134" s="1244">
        <f t="shared" si="12"/>
        <v>0</v>
      </c>
      <c r="K134" s="1244">
        <f t="shared" si="13"/>
        <v>0</v>
      </c>
      <c r="L134" s="1243"/>
      <c r="M134" s="1245"/>
      <c r="N134" s="1246"/>
    </row>
    <row r="135" spans="1:14" ht="12.75" customHeight="1" x14ac:dyDescent="0.25">
      <c r="A135" s="596" t="s">
        <v>1686</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1594</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1687</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1687</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48"/>
      <c r="B140" s="73"/>
      <c r="C140" s="74"/>
      <c r="D140" s="75"/>
      <c r="E140" s="75"/>
      <c r="F140" s="75"/>
      <c r="G140" s="75"/>
      <c r="H140" s="75"/>
      <c r="I140" s="75"/>
      <c r="J140" s="75"/>
      <c r="K140" s="75"/>
      <c r="L140" s="75"/>
      <c r="M140" s="76"/>
      <c r="N140" s="128"/>
    </row>
    <row r="141" spans="1:14" ht="12.75" customHeight="1" x14ac:dyDescent="0.25">
      <c r="A141" s="493" t="s">
        <v>1688</v>
      </c>
      <c r="B141" s="73"/>
      <c r="C141" s="140">
        <f>SUM(C142:C143)</f>
        <v>259112</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259112</v>
      </c>
      <c r="L141" s="237">
        <f t="shared" si="27"/>
        <v>262791.59999999998</v>
      </c>
      <c r="M141" s="238">
        <f t="shared" si="27"/>
        <v>269440</v>
      </c>
      <c r="N141" s="128"/>
    </row>
    <row r="142" spans="1:14" ht="12.75" customHeight="1" x14ac:dyDescent="0.25">
      <c r="A142" s="597" t="s">
        <v>1689</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1690</v>
      </c>
      <c r="B143" s="73"/>
      <c r="C143" s="140">
        <f>SUM(C144:C149)</f>
        <v>259112</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259112</v>
      </c>
      <c r="L143" s="141">
        <f t="shared" si="28"/>
        <v>262791.59999999998</v>
      </c>
      <c r="M143" s="142">
        <f t="shared" si="28"/>
        <v>269440</v>
      </c>
      <c r="N143" s="128"/>
    </row>
    <row r="144" spans="1:14" ht="12.75" customHeight="1" x14ac:dyDescent="0.25">
      <c r="A144" s="596" t="s">
        <v>1691</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1692</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1693</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1694</v>
      </c>
      <c r="B147" s="73"/>
      <c r="C147" s="130">
        <v>259112</v>
      </c>
      <c r="D147" s="109"/>
      <c r="E147" s="109"/>
      <c r="F147" s="109"/>
      <c r="G147" s="109"/>
      <c r="H147" s="109"/>
      <c r="I147" s="109"/>
      <c r="J147" s="75">
        <f t="shared" si="25"/>
        <v>0</v>
      </c>
      <c r="K147" s="75">
        <f t="shared" si="26"/>
        <v>259112</v>
      </c>
      <c r="L147" s="109">
        <v>262791.59999999998</v>
      </c>
      <c r="M147" s="110">
        <v>269440</v>
      </c>
      <c r="N147" s="128"/>
    </row>
    <row r="148" spans="1:14" ht="12.75" customHeight="1" x14ac:dyDescent="0.25">
      <c r="A148" s="596" t="s">
        <v>1695</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1696</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48"/>
      <c r="B150" s="73"/>
      <c r="C150" s="74"/>
      <c r="D150" s="75"/>
      <c r="E150" s="75"/>
      <c r="F150" s="75"/>
      <c r="G150" s="75"/>
      <c r="H150" s="75"/>
      <c r="I150" s="75"/>
      <c r="J150" s="75"/>
      <c r="K150" s="75"/>
      <c r="L150" s="75"/>
      <c r="M150" s="76"/>
      <c r="N150" s="128"/>
    </row>
    <row r="151" spans="1:14" ht="12.75" customHeight="1" x14ac:dyDescent="0.25">
      <c r="A151" s="493" t="s">
        <v>1697</v>
      </c>
      <c r="B151" s="73"/>
      <c r="C151" s="140">
        <f t="shared" ref="C151:M151" si="29">SUM(C152:C152)</f>
        <v>721092.2</v>
      </c>
      <c r="D151" s="141">
        <f t="shared" si="29"/>
        <v>0</v>
      </c>
      <c r="E151" s="237">
        <f t="shared" si="29"/>
        <v>0</v>
      </c>
      <c r="F151" s="237">
        <f t="shared" si="29"/>
        <v>0</v>
      </c>
      <c r="G151" s="237">
        <f t="shared" si="29"/>
        <v>0</v>
      </c>
      <c r="H151" s="237">
        <f t="shared" si="29"/>
        <v>0</v>
      </c>
      <c r="I151" s="237">
        <f t="shared" si="29"/>
        <v>0</v>
      </c>
      <c r="J151" s="237">
        <f t="shared" si="25"/>
        <v>0</v>
      </c>
      <c r="K151" s="237">
        <f t="shared" si="26"/>
        <v>721092.2</v>
      </c>
      <c r="L151" s="237">
        <f t="shared" si="29"/>
        <v>733266.67</v>
      </c>
      <c r="M151" s="238">
        <f t="shared" si="29"/>
        <v>752844.9</v>
      </c>
      <c r="N151" s="128"/>
    </row>
    <row r="152" spans="1:14" ht="12.75" customHeight="1" x14ac:dyDescent="0.25">
      <c r="A152" s="595" t="s">
        <v>1697</v>
      </c>
      <c r="B152" s="73"/>
      <c r="C152" s="130">
        <v>721092.2</v>
      </c>
      <c r="D152" s="109"/>
      <c r="E152" s="109"/>
      <c r="F152" s="109"/>
      <c r="G152" s="109"/>
      <c r="H152" s="109"/>
      <c r="I152" s="109"/>
      <c r="J152" s="75">
        <f t="shared" si="25"/>
        <v>0</v>
      </c>
      <c r="K152" s="75">
        <f t="shared" si="26"/>
        <v>721092.2</v>
      </c>
      <c r="L152" s="109">
        <v>733266.67</v>
      </c>
      <c r="M152" s="110">
        <v>752844.9</v>
      </c>
      <c r="N152" s="128"/>
    </row>
    <row r="153" spans="1:14" ht="4.9000000000000004" customHeight="1" x14ac:dyDescent="0.25">
      <c r="A153" s="1248"/>
      <c r="B153" s="73"/>
      <c r="C153" s="74"/>
      <c r="D153" s="75"/>
      <c r="E153" s="75"/>
      <c r="F153" s="75"/>
      <c r="G153" s="75"/>
      <c r="H153" s="75"/>
      <c r="I153" s="75"/>
      <c r="J153" s="75"/>
      <c r="K153" s="75"/>
      <c r="L153" s="75"/>
      <c r="M153" s="76"/>
      <c r="N153" s="128"/>
    </row>
    <row r="154" spans="1:14" ht="12.75" customHeight="1" x14ac:dyDescent="0.25">
      <c r="A154" s="493" t="s">
        <v>1698</v>
      </c>
      <c r="B154" s="73"/>
      <c r="C154" s="140">
        <f t="shared" ref="C154:M154" si="30">SUM(C155:C155)</f>
        <v>1278488</v>
      </c>
      <c r="D154" s="141">
        <f t="shared" si="30"/>
        <v>0</v>
      </c>
      <c r="E154" s="237">
        <f t="shared" si="30"/>
        <v>0</v>
      </c>
      <c r="F154" s="237">
        <f t="shared" si="30"/>
        <v>0</v>
      </c>
      <c r="G154" s="237">
        <f t="shared" si="30"/>
        <v>0</v>
      </c>
      <c r="H154" s="237">
        <f t="shared" si="30"/>
        <v>0</v>
      </c>
      <c r="I154" s="237">
        <f t="shared" si="30"/>
        <v>0</v>
      </c>
      <c r="J154" s="237">
        <f t="shared" si="25"/>
        <v>0</v>
      </c>
      <c r="K154" s="237">
        <f t="shared" si="26"/>
        <v>1278488</v>
      </c>
      <c r="L154" s="237">
        <f t="shared" si="30"/>
        <v>1294043.54</v>
      </c>
      <c r="M154" s="238">
        <f t="shared" si="30"/>
        <v>1326747</v>
      </c>
      <c r="N154" s="128"/>
    </row>
    <row r="155" spans="1:14" ht="12.75" customHeight="1" x14ac:dyDescent="0.25">
      <c r="A155" s="595" t="s">
        <v>1698</v>
      </c>
      <c r="B155" s="73"/>
      <c r="C155" s="130">
        <f>1353488-75000</f>
        <v>1278488</v>
      </c>
      <c r="D155" s="109"/>
      <c r="E155" s="109"/>
      <c r="F155" s="109"/>
      <c r="G155" s="109"/>
      <c r="H155" s="109"/>
      <c r="I155" s="109"/>
      <c r="J155" s="75">
        <f t="shared" si="25"/>
        <v>0</v>
      </c>
      <c r="K155" s="75">
        <f t="shared" si="26"/>
        <v>1278488</v>
      </c>
      <c r="L155" s="109">
        <f>1372707.54-664-78000</f>
        <v>1294043.54</v>
      </c>
      <c r="M155" s="110">
        <f>1407437+310-81000</f>
        <v>1326747</v>
      </c>
      <c r="N155" s="128"/>
    </row>
    <row r="156" spans="1:14" ht="4.9000000000000004" customHeight="1" x14ac:dyDescent="0.25">
      <c r="A156" s="1248"/>
      <c r="B156" s="73"/>
      <c r="C156" s="74"/>
      <c r="D156" s="75"/>
      <c r="E156" s="75"/>
      <c r="F156" s="75"/>
      <c r="G156" s="75"/>
      <c r="H156" s="75"/>
      <c r="I156" s="75"/>
      <c r="J156" s="75"/>
      <c r="K156" s="75"/>
      <c r="L156" s="75"/>
      <c r="M156" s="76"/>
      <c r="N156" s="128"/>
    </row>
    <row r="157" spans="1:14" ht="12.75" customHeight="1" x14ac:dyDescent="0.25">
      <c r="A157" s="493" t="s">
        <v>1699</v>
      </c>
      <c r="B157" s="73"/>
      <c r="C157" s="140">
        <f t="shared" ref="C157:M157" si="31">SUM(C158:C158)</f>
        <v>926928.8</v>
      </c>
      <c r="D157" s="141">
        <f t="shared" si="31"/>
        <v>0</v>
      </c>
      <c r="E157" s="237">
        <f t="shared" si="31"/>
        <v>0</v>
      </c>
      <c r="F157" s="237">
        <f t="shared" si="31"/>
        <v>0</v>
      </c>
      <c r="G157" s="237">
        <f t="shared" si="31"/>
        <v>0</v>
      </c>
      <c r="H157" s="237">
        <f t="shared" si="31"/>
        <v>0</v>
      </c>
      <c r="I157" s="237">
        <f t="shared" si="31"/>
        <v>0</v>
      </c>
      <c r="J157" s="237">
        <f t="shared" si="25"/>
        <v>0</v>
      </c>
      <c r="K157" s="237">
        <f t="shared" si="26"/>
        <v>926928.8</v>
      </c>
      <c r="L157" s="237">
        <f t="shared" si="31"/>
        <v>940091.22450000001</v>
      </c>
      <c r="M157" s="238">
        <f t="shared" si="31"/>
        <v>963875.53</v>
      </c>
      <c r="N157" s="128"/>
    </row>
    <row r="158" spans="1:14" ht="12.75" customHeight="1" x14ac:dyDescent="0.25">
      <c r="A158" s="595" t="s">
        <v>1699</v>
      </c>
      <c r="B158" s="73"/>
      <c r="C158" s="130">
        <v>926928.8</v>
      </c>
      <c r="D158" s="109"/>
      <c r="E158" s="109"/>
      <c r="F158" s="109"/>
      <c r="G158" s="109"/>
      <c r="H158" s="109"/>
      <c r="I158" s="109"/>
      <c r="J158" s="75">
        <f t="shared" si="25"/>
        <v>0</v>
      </c>
      <c r="K158" s="75">
        <f t="shared" si="26"/>
        <v>926928.8</v>
      </c>
      <c r="L158" s="109">
        <v>940091.22450000001</v>
      </c>
      <c r="M158" s="110">
        <v>963875.53</v>
      </c>
      <c r="N158" s="128"/>
    </row>
    <row r="159" spans="1:14" ht="4.9000000000000004" customHeight="1" x14ac:dyDescent="0.25">
      <c r="A159" s="1248"/>
      <c r="B159" s="73"/>
      <c r="C159" s="74"/>
      <c r="D159" s="75"/>
      <c r="E159" s="75"/>
      <c r="F159" s="75"/>
      <c r="G159" s="75"/>
      <c r="H159" s="75"/>
      <c r="I159" s="75"/>
      <c r="J159" s="75"/>
      <c r="K159" s="75"/>
      <c r="L159" s="75"/>
      <c r="M159" s="76"/>
      <c r="N159" s="128"/>
    </row>
    <row r="160" spans="1:14" ht="12.75" customHeight="1" x14ac:dyDescent="0.25">
      <c r="A160" s="493" t="s">
        <v>1700</v>
      </c>
      <c r="B160" s="73"/>
      <c r="C160" s="140">
        <f t="shared" ref="C160:M160" si="32">SUM(C161:C161)</f>
        <v>3937330</v>
      </c>
      <c r="D160" s="141">
        <f t="shared" si="32"/>
        <v>0</v>
      </c>
      <c r="E160" s="237">
        <f t="shared" si="32"/>
        <v>0</v>
      </c>
      <c r="F160" s="237">
        <f t="shared" si="32"/>
        <v>0</v>
      </c>
      <c r="G160" s="237">
        <f t="shared" si="32"/>
        <v>0</v>
      </c>
      <c r="H160" s="237">
        <f t="shared" si="32"/>
        <v>0</v>
      </c>
      <c r="I160" s="237">
        <f t="shared" si="32"/>
        <v>0</v>
      </c>
      <c r="J160" s="237">
        <f t="shared" si="25"/>
        <v>0</v>
      </c>
      <c r="K160" s="237">
        <f t="shared" si="26"/>
        <v>3937330</v>
      </c>
      <c r="L160" s="237">
        <f t="shared" si="32"/>
        <v>4021305.6</v>
      </c>
      <c r="M160" s="238">
        <f t="shared" si="32"/>
        <v>4123044.68</v>
      </c>
      <c r="N160" s="128"/>
    </row>
    <row r="161" spans="1:14" ht="12.75" customHeight="1" x14ac:dyDescent="0.25">
      <c r="A161" s="595" t="s">
        <v>1700</v>
      </c>
      <c r="B161" s="73"/>
      <c r="C161" s="130">
        <f>3937304+26</f>
        <v>3937330</v>
      </c>
      <c r="D161" s="109"/>
      <c r="E161" s="109"/>
      <c r="F161" s="109"/>
      <c r="G161" s="109"/>
      <c r="H161" s="109"/>
      <c r="I161" s="109"/>
      <c r="J161" s="75">
        <f t="shared" si="25"/>
        <v>0</v>
      </c>
      <c r="K161" s="75">
        <f t="shared" si="26"/>
        <v>3937330</v>
      </c>
      <c r="L161" s="109">
        <v>4021305.6</v>
      </c>
      <c r="M161" s="110">
        <v>4123044.68</v>
      </c>
      <c r="N161" s="128"/>
    </row>
    <row r="162" spans="1:14" ht="4.9000000000000004" customHeight="1" x14ac:dyDescent="0.25">
      <c r="A162" s="1248"/>
      <c r="B162" s="73"/>
      <c r="C162" s="74"/>
      <c r="D162" s="75"/>
      <c r="E162" s="75"/>
      <c r="F162" s="75"/>
      <c r="G162" s="75"/>
      <c r="H162" s="75"/>
      <c r="I162" s="75"/>
      <c r="J162" s="75"/>
      <c r="K162" s="75"/>
      <c r="L162" s="75"/>
      <c r="M162" s="76"/>
      <c r="N162" s="128"/>
    </row>
    <row r="163" spans="1:14" ht="12.75" customHeight="1" x14ac:dyDescent="0.25">
      <c r="A163" s="493" t="s">
        <v>1757</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1757</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48"/>
      <c r="B165" s="73"/>
      <c r="C165" s="74"/>
      <c r="D165" s="75"/>
      <c r="E165" s="75"/>
      <c r="F165" s="75"/>
      <c r="G165" s="75"/>
      <c r="H165" s="75"/>
      <c r="I165" s="75"/>
      <c r="J165" s="75"/>
      <c r="K165" s="75"/>
      <c r="L165" s="75"/>
      <c r="M165" s="76"/>
      <c r="N165" s="128"/>
    </row>
    <row r="166" spans="1:14" ht="12.75" customHeight="1" x14ac:dyDescent="0.25">
      <c r="A166" s="493" t="s">
        <v>1701</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1701</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1435</v>
      </c>
      <c r="B169" s="156">
        <v>1</v>
      </c>
      <c r="C169" s="157">
        <f>C8+C76+C105+C112+C120+C151+C138+C141+C154+C157+C160+C163+C166</f>
        <v>133475495.45999999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133475495.45999999</v>
      </c>
      <c r="L169" s="117">
        <f t="shared" si="35"/>
        <v>135403831.84</v>
      </c>
      <c r="M169" s="118">
        <f t="shared" si="35"/>
        <v>138917142</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5" t="s">
        <v>1206</v>
      </c>
      <c r="B171" s="762"/>
      <c r="C171" s="765"/>
      <c r="D171" s="765"/>
      <c r="E171" s="766"/>
      <c r="F171" s="766"/>
      <c r="G171" s="766"/>
      <c r="H171" s="766"/>
      <c r="I171" s="766"/>
      <c r="J171" s="53"/>
      <c r="K171" s="53"/>
      <c r="L171" s="53"/>
      <c r="M171" s="53"/>
      <c r="N171" s="128"/>
    </row>
    <row r="172" spans="1:14" ht="12.75" customHeight="1" x14ac:dyDescent="0.25">
      <c r="A172" s="1395" t="s">
        <v>992</v>
      </c>
      <c r="B172" s="1395"/>
      <c r="C172" s="1395"/>
      <c r="D172" s="1395"/>
      <c r="E172" s="1395"/>
      <c r="F172" s="1395"/>
      <c r="G172" s="1395"/>
      <c r="H172" s="1395"/>
      <c r="I172" s="1395"/>
      <c r="J172" s="1395"/>
      <c r="K172" s="1395"/>
      <c r="L172" s="1395"/>
      <c r="M172" s="1395"/>
      <c r="N172" s="128"/>
    </row>
    <row r="173" spans="1:14" ht="12.75" customHeight="1" x14ac:dyDescent="0.25">
      <c r="A173" s="1395" t="s">
        <v>998</v>
      </c>
      <c r="B173" s="1395"/>
      <c r="C173" s="1395"/>
      <c r="D173" s="1395"/>
      <c r="E173" s="1395"/>
      <c r="F173" s="1395"/>
      <c r="G173" s="1395"/>
      <c r="H173" s="1395"/>
      <c r="I173" s="1395"/>
      <c r="J173" s="1395"/>
      <c r="K173" s="832"/>
      <c r="L173" s="832"/>
      <c r="M173" s="832"/>
      <c r="N173" s="128"/>
    </row>
    <row r="174" spans="1:14" ht="12.75" customHeight="1" x14ac:dyDescent="0.25">
      <c r="A174" s="1395" t="s">
        <v>999</v>
      </c>
      <c r="B174" s="1395"/>
      <c r="C174" s="1395"/>
      <c r="D174" s="1395"/>
      <c r="E174" s="1395"/>
      <c r="F174" s="1395"/>
      <c r="G174" s="1395"/>
      <c r="H174" s="1395"/>
      <c r="I174" s="1395"/>
      <c r="J174" s="1395"/>
      <c r="K174" s="832"/>
      <c r="L174" s="832"/>
      <c r="M174" s="832"/>
      <c r="N174" s="128"/>
    </row>
    <row r="175" spans="1:14" ht="12.75" customHeight="1" x14ac:dyDescent="0.25">
      <c r="A175" s="1395" t="s">
        <v>1022</v>
      </c>
      <c r="B175" s="1395"/>
      <c r="C175" s="1395"/>
      <c r="D175" s="1395"/>
      <c r="E175" s="1395"/>
      <c r="F175" s="1395"/>
      <c r="G175" s="1395"/>
      <c r="H175" s="1395"/>
      <c r="I175" s="1395"/>
      <c r="J175" s="1395"/>
      <c r="K175" s="1395"/>
      <c r="L175" s="1395"/>
      <c r="M175" s="1395"/>
      <c r="N175" s="128"/>
    </row>
    <row r="176" spans="1:14" ht="12.75" customHeight="1" x14ac:dyDescent="0.25">
      <c r="A176" s="159" t="s">
        <v>1023</v>
      </c>
      <c r="B176" s="160"/>
      <c r="C176" s="94"/>
      <c r="D176" s="94"/>
      <c r="E176" s="94"/>
      <c r="F176" s="94"/>
      <c r="G176" s="94"/>
      <c r="H176" s="94"/>
      <c r="I176" s="94"/>
      <c r="J176" s="94"/>
      <c r="K176" s="94"/>
      <c r="L176" s="94"/>
      <c r="M176" s="94"/>
      <c r="N176" s="128"/>
    </row>
    <row r="177" spans="1:14" ht="12.75" customHeight="1" x14ac:dyDescent="0.25">
      <c r="A177" s="1395" t="s">
        <v>1024</v>
      </c>
      <c r="B177" s="1395"/>
      <c r="C177" s="1395"/>
      <c r="D177" s="1395"/>
      <c r="E177" s="1395"/>
      <c r="F177" s="1395"/>
      <c r="G177" s="1395"/>
      <c r="H177" s="1395"/>
      <c r="I177" s="1395"/>
      <c r="J177" s="1395"/>
      <c r="K177" s="1395"/>
      <c r="L177" s="1395"/>
      <c r="M177" s="1395"/>
      <c r="N177" s="128"/>
    </row>
    <row r="178" spans="1:14" ht="12.75" customHeight="1" x14ac:dyDescent="0.25">
      <c r="A178" s="159" t="s">
        <v>1025</v>
      </c>
      <c r="B178" s="160"/>
      <c r="C178" s="94"/>
      <c r="D178" s="94"/>
      <c r="E178" s="94"/>
      <c r="F178" s="94"/>
      <c r="G178" s="94"/>
      <c r="H178" s="94"/>
      <c r="I178" s="94"/>
      <c r="J178" s="94"/>
      <c r="K178" s="94"/>
      <c r="L178" s="94"/>
      <c r="M178" s="94"/>
      <c r="N178" s="128"/>
    </row>
    <row r="179" spans="1:14" ht="12.75" customHeight="1" x14ac:dyDescent="0.25">
      <c r="A179" s="1395" t="s">
        <v>1026</v>
      </c>
      <c r="B179" s="1395"/>
      <c r="C179" s="1395"/>
      <c r="D179" s="1395"/>
      <c r="E179" s="1395"/>
      <c r="F179" s="1395"/>
      <c r="G179" s="1395"/>
      <c r="H179" s="1395"/>
      <c r="I179" s="1395"/>
      <c r="J179" s="1395"/>
      <c r="K179" s="1395"/>
      <c r="L179" s="1395"/>
      <c r="M179" s="1395"/>
      <c r="N179" s="128"/>
    </row>
    <row r="180" spans="1:14" ht="11.25" customHeight="1" x14ac:dyDescent="0.25">
      <c r="A180" s="345"/>
      <c r="B180" s="793"/>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4" t="s">
        <v>675</v>
      </c>
      <c r="B182" s="160"/>
      <c r="C182" s="795">
        <f>C169-'B4-FinPerf RE'!C29</f>
        <v>-0.38000001013278961</v>
      </c>
      <c r="D182" s="795"/>
      <c r="E182" s="795"/>
      <c r="F182" s="795"/>
      <c r="G182" s="795"/>
      <c r="H182" s="795"/>
      <c r="I182" s="795"/>
      <c r="J182" s="795"/>
      <c r="K182" s="795"/>
      <c r="L182" s="795">
        <f>L169-'B4-FinPerf RE'!L29</f>
        <v>-0.15999999642372131</v>
      </c>
      <c r="M182" s="795">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60" zoomScaleNormal="100" workbookViewId="0">
      <selection activeCell="K169" sqref="K169:M169"/>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LIM333 Greater Tzaneen - Adjustments Budget - capital expenditure on upgrading of existing assets by asset class - 27/02/2019</v>
      </c>
      <c r="B1" s="5"/>
      <c r="C1" s="58"/>
    </row>
    <row r="2" spans="1:14" ht="25.5" x14ac:dyDescent="0.25">
      <c r="A2" s="1393" t="str">
        <f>desc</f>
        <v>Description</v>
      </c>
      <c r="B2" s="1393" t="str">
        <f>head27</f>
        <v>Ref</v>
      </c>
      <c r="C2" s="1390" t="str">
        <f>Head2</f>
        <v>Budget Year 2018/19</v>
      </c>
      <c r="D2" s="1391"/>
      <c r="E2" s="1391"/>
      <c r="F2" s="1391"/>
      <c r="G2" s="1391"/>
      <c r="H2" s="1391"/>
      <c r="I2" s="1391"/>
      <c r="J2" s="1391"/>
      <c r="K2" s="1392"/>
      <c r="L2" s="169" t="str">
        <f>Head10</f>
        <v>Budget Year +1 2019/20</v>
      </c>
      <c r="M2" s="170" t="str">
        <f>Head11</f>
        <v>Budget Year +2 2020/21</v>
      </c>
    </row>
    <row r="3" spans="1:14" ht="25.5" x14ac:dyDescent="0.25">
      <c r="A3" s="1394"/>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4"/>
      <c r="B4" s="1394"/>
      <c r="C4" s="65"/>
      <c r="D4" s="15">
        <v>7</v>
      </c>
      <c r="E4" s="15">
        <v>8</v>
      </c>
      <c r="F4" s="15">
        <v>9</v>
      </c>
      <c r="G4" s="15">
        <v>10</v>
      </c>
      <c r="H4" s="15">
        <v>11</v>
      </c>
      <c r="I4" s="15">
        <v>12</v>
      </c>
      <c r="J4" s="15">
        <v>13</v>
      </c>
      <c r="K4" s="15">
        <v>14</v>
      </c>
      <c r="L4" s="15"/>
      <c r="M4" s="17"/>
    </row>
    <row r="5" spans="1:14" x14ac:dyDescent="0.25">
      <c r="A5" s="66" t="s">
        <v>605</v>
      </c>
      <c r="B5" s="104"/>
      <c r="C5" s="67" t="s">
        <v>548</v>
      </c>
      <c r="D5" s="68" t="s">
        <v>549</v>
      </c>
      <c r="E5" s="68" t="s">
        <v>550</v>
      </c>
      <c r="F5" s="69" t="s">
        <v>551</v>
      </c>
      <c r="G5" s="69" t="s">
        <v>552</v>
      </c>
      <c r="H5" s="69" t="s">
        <v>553</v>
      </c>
      <c r="I5" s="70" t="s">
        <v>554</v>
      </c>
      <c r="J5" s="70" t="s">
        <v>555</v>
      </c>
      <c r="K5" s="70" t="s">
        <v>556</v>
      </c>
      <c r="L5" s="70"/>
      <c r="M5" s="71"/>
    </row>
    <row r="6" spans="1:14" ht="12.75" customHeight="1" x14ac:dyDescent="0.25">
      <c r="A6" s="853" t="s">
        <v>1702</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772</v>
      </c>
      <c r="B8" s="73"/>
      <c r="C8" s="704">
        <f>C9+C14+C18+C28+C70+C39+C46+C54+C64</f>
        <v>75323655.50999999</v>
      </c>
      <c r="D8" s="704">
        <f t="shared" ref="D8:I8" si="0">D9+D14+D18+D28+D70+D39+D46+D54+D64</f>
        <v>0</v>
      </c>
      <c r="E8" s="704">
        <f t="shared" si="0"/>
        <v>0</v>
      </c>
      <c r="F8" s="704">
        <f t="shared" si="0"/>
        <v>0</v>
      </c>
      <c r="G8" s="704">
        <f t="shared" si="0"/>
        <v>0</v>
      </c>
      <c r="H8" s="704">
        <f t="shared" si="0"/>
        <v>0</v>
      </c>
      <c r="I8" s="704">
        <f t="shared" si="0"/>
        <v>1571475.4900000021</v>
      </c>
      <c r="J8" s="705">
        <f>SUM(E8:I8)</f>
        <v>1571475.4900000021</v>
      </c>
      <c r="K8" s="705">
        <f>IF(D8=0,C8+J8,D8+J8)</f>
        <v>76895131</v>
      </c>
      <c r="L8" s="704">
        <f>L9+L14+L18+L28+L70+L39+L46+L54+L64</f>
        <v>21942728</v>
      </c>
      <c r="M8" s="706">
        <f>M9+M14+M18+M28+M70+M39+M46+M54+M64</f>
        <v>27166714</v>
      </c>
      <c r="N8" s="847"/>
    </row>
    <row r="9" spans="1:14" ht="12.75" customHeight="1" x14ac:dyDescent="0.25">
      <c r="A9" s="595" t="s">
        <v>1591</v>
      </c>
      <c r="B9" s="73"/>
      <c r="C9" s="265">
        <f>SUM(C10:C13)</f>
        <v>62816890.509999998</v>
      </c>
      <c r="D9" s="265">
        <f t="shared" ref="D9:M9" si="1">SUM(D10:D13)</f>
        <v>0</v>
      </c>
      <c r="E9" s="265">
        <f t="shared" si="1"/>
        <v>0</v>
      </c>
      <c r="F9" s="265">
        <f t="shared" si="1"/>
        <v>0</v>
      </c>
      <c r="G9" s="265">
        <f t="shared" si="1"/>
        <v>0</v>
      </c>
      <c r="H9" s="265">
        <f t="shared" si="1"/>
        <v>0</v>
      </c>
      <c r="I9" s="265">
        <f t="shared" si="1"/>
        <v>-3121759.5099999979</v>
      </c>
      <c r="J9" s="75">
        <f t="shared" ref="J9:J72" si="2">SUM(E9:I9)</f>
        <v>-3121759.5099999979</v>
      </c>
      <c r="K9" s="75">
        <f t="shared" ref="K9:K72" si="3">IF(D9=0,C9+J9,D9+J9)</f>
        <v>59695131</v>
      </c>
      <c r="L9" s="265">
        <f t="shared" si="1"/>
        <v>21942728</v>
      </c>
      <c r="M9" s="266">
        <f t="shared" si="1"/>
        <v>27166714</v>
      </c>
      <c r="N9" s="128"/>
    </row>
    <row r="10" spans="1:14" ht="12.75" customHeight="1" x14ac:dyDescent="0.25">
      <c r="A10" s="596" t="s">
        <v>1008</v>
      </c>
      <c r="B10" s="73"/>
      <c r="C10" s="109">
        <v>62816890.509999998</v>
      </c>
      <c r="D10" s="109"/>
      <c r="E10" s="109"/>
      <c r="F10" s="109"/>
      <c r="G10" s="109"/>
      <c r="H10" s="109"/>
      <c r="I10" s="109">
        <f>59695131-62816890.51</f>
        <v>-3121759.5099999979</v>
      </c>
      <c r="J10" s="75">
        <f t="shared" si="2"/>
        <v>-3121759.5099999979</v>
      </c>
      <c r="K10" s="75">
        <f t="shared" si="3"/>
        <v>59695131</v>
      </c>
      <c r="L10" s="109">
        <v>21942728</v>
      </c>
      <c r="M10" s="110">
        <v>27166714</v>
      </c>
      <c r="N10" s="847"/>
    </row>
    <row r="11" spans="1:14" ht="12.75" customHeight="1" x14ac:dyDescent="0.25">
      <c r="A11" s="596" t="s">
        <v>1592</v>
      </c>
      <c r="B11" s="73"/>
      <c r="C11" s="109"/>
      <c r="D11" s="109"/>
      <c r="E11" s="109"/>
      <c r="F11" s="109"/>
      <c r="G11" s="109"/>
      <c r="H11" s="109"/>
      <c r="I11" s="109"/>
      <c r="J11" s="75">
        <f t="shared" si="2"/>
        <v>0</v>
      </c>
      <c r="K11" s="75">
        <f t="shared" si="3"/>
        <v>0</v>
      </c>
      <c r="L11" s="109"/>
      <c r="M11" s="110"/>
      <c r="N11" s="852"/>
    </row>
    <row r="12" spans="1:14" ht="12.75" customHeight="1" x14ac:dyDescent="0.25">
      <c r="A12" s="596" t="s">
        <v>1593</v>
      </c>
      <c r="B12" s="73"/>
      <c r="C12" s="109"/>
      <c r="D12" s="109"/>
      <c r="E12" s="109"/>
      <c r="F12" s="109"/>
      <c r="G12" s="109"/>
      <c r="H12" s="109"/>
      <c r="I12" s="109"/>
      <c r="J12" s="75">
        <f t="shared" si="2"/>
        <v>0</v>
      </c>
      <c r="K12" s="75">
        <f t="shared" si="3"/>
        <v>0</v>
      </c>
      <c r="L12" s="109"/>
      <c r="M12" s="110"/>
      <c r="N12" s="847"/>
    </row>
    <row r="13" spans="1:14" ht="12.75" customHeight="1" x14ac:dyDescent="0.25">
      <c r="A13" s="596" t="s">
        <v>1594</v>
      </c>
      <c r="B13" s="73"/>
      <c r="C13" s="389"/>
      <c r="D13" s="109"/>
      <c r="E13" s="109"/>
      <c r="F13" s="109"/>
      <c r="G13" s="109"/>
      <c r="H13" s="109"/>
      <c r="I13" s="109"/>
      <c r="J13" s="75">
        <f t="shared" si="2"/>
        <v>0</v>
      </c>
      <c r="K13" s="75">
        <f t="shared" si="3"/>
        <v>0</v>
      </c>
      <c r="L13" s="109"/>
      <c r="M13" s="110"/>
      <c r="N13" s="852"/>
    </row>
    <row r="14" spans="1:14" ht="12.75" customHeight="1" x14ac:dyDescent="0.25">
      <c r="A14" s="595" t="s">
        <v>1595</v>
      </c>
      <c r="B14" s="73"/>
      <c r="C14" s="1135">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2"/>
    </row>
    <row r="15" spans="1:14" ht="12.75" customHeight="1" x14ac:dyDescent="0.25">
      <c r="A15" s="596" t="s">
        <v>1596</v>
      </c>
      <c r="B15" s="73"/>
      <c r="C15" s="389"/>
      <c r="D15" s="109"/>
      <c r="E15" s="109"/>
      <c r="F15" s="109"/>
      <c r="G15" s="109"/>
      <c r="H15" s="109"/>
      <c r="I15" s="109"/>
      <c r="J15" s="75">
        <f t="shared" si="2"/>
        <v>0</v>
      </c>
      <c r="K15" s="75">
        <f t="shared" si="3"/>
        <v>0</v>
      </c>
      <c r="L15" s="109"/>
      <c r="M15" s="110"/>
      <c r="N15" s="852"/>
    </row>
    <row r="16" spans="1:14" ht="12.75" customHeight="1" x14ac:dyDescent="0.25">
      <c r="A16" s="596" t="s">
        <v>1597</v>
      </c>
      <c r="B16" s="73"/>
      <c r="C16" s="389"/>
      <c r="D16" s="109"/>
      <c r="E16" s="109"/>
      <c r="F16" s="109"/>
      <c r="G16" s="109"/>
      <c r="H16" s="109"/>
      <c r="I16" s="109"/>
      <c r="J16" s="75">
        <f t="shared" si="2"/>
        <v>0</v>
      </c>
      <c r="K16" s="75">
        <f t="shared" si="3"/>
        <v>0</v>
      </c>
      <c r="L16" s="109"/>
      <c r="M16" s="110"/>
      <c r="N16" s="852"/>
    </row>
    <row r="17" spans="1:14" ht="12.75" customHeight="1" x14ac:dyDescent="0.25">
      <c r="A17" s="596" t="s">
        <v>1598</v>
      </c>
      <c r="B17" s="73"/>
      <c r="C17" s="389"/>
      <c r="D17" s="109"/>
      <c r="E17" s="109"/>
      <c r="F17" s="109"/>
      <c r="G17" s="109"/>
      <c r="H17" s="109"/>
      <c r="I17" s="109"/>
      <c r="J17" s="75">
        <f t="shared" si="2"/>
        <v>0</v>
      </c>
      <c r="K17" s="75">
        <f t="shared" si="3"/>
        <v>0</v>
      </c>
      <c r="L17" s="109"/>
      <c r="M17" s="110"/>
      <c r="N17" s="852"/>
    </row>
    <row r="18" spans="1:14" ht="12.75" customHeight="1" x14ac:dyDescent="0.25">
      <c r="A18" s="595" t="s">
        <v>1599</v>
      </c>
      <c r="B18" s="73"/>
      <c r="C18" s="1135">
        <f t="shared" ref="C18:M18" si="5">SUM(C19:C27)</f>
        <v>0</v>
      </c>
      <c r="D18" s="132">
        <f t="shared" si="5"/>
        <v>0</v>
      </c>
      <c r="E18" s="132">
        <f t="shared" si="5"/>
        <v>0</v>
      </c>
      <c r="F18" s="132">
        <f t="shared" si="5"/>
        <v>0</v>
      </c>
      <c r="G18" s="132">
        <f t="shared" si="5"/>
        <v>0</v>
      </c>
      <c r="H18" s="132">
        <f t="shared" si="5"/>
        <v>0</v>
      </c>
      <c r="I18" s="132">
        <f t="shared" si="5"/>
        <v>14700000</v>
      </c>
      <c r="J18" s="75">
        <f t="shared" si="2"/>
        <v>14700000</v>
      </c>
      <c r="K18" s="75">
        <f t="shared" si="3"/>
        <v>14700000</v>
      </c>
      <c r="L18" s="132">
        <f t="shared" si="5"/>
        <v>0</v>
      </c>
      <c r="M18" s="133">
        <f t="shared" si="5"/>
        <v>0</v>
      </c>
      <c r="N18" s="852"/>
    </row>
    <row r="19" spans="1:14" ht="12.75" customHeight="1" x14ac:dyDescent="0.25">
      <c r="A19" s="596" t="s">
        <v>1600</v>
      </c>
      <c r="B19" s="73"/>
      <c r="C19" s="389"/>
      <c r="D19" s="109"/>
      <c r="E19" s="109"/>
      <c r="F19" s="109"/>
      <c r="G19" s="109"/>
      <c r="H19" s="109"/>
      <c r="I19" s="109"/>
      <c r="J19" s="75">
        <f t="shared" si="2"/>
        <v>0</v>
      </c>
      <c r="K19" s="75">
        <f t="shared" si="3"/>
        <v>0</v>
      </c>
      <c r="L19" s="109"/>
      <c r="M19" s="110"/>
      <c r="N19" s="852"/>
    </row>
    <row r="20" spans="1:14" ht="12.4" customHeight="1" x14ac:dyDescent="0.25">
      <c r="A20" s="596" t="s">
        <v>1601</v>
      </c>
      <c r="B20" s="73"/>
      <c r="C20" s="389"/>
      <c r="D20" s="109"/>
      <c r="E20" s="109"/>
      <c r="F20" s="109"/>
      <c r="G20" s="109"/>
      <c r="H20" s="109"/>
      <c r="I20" s="109"/>
      <c r="J20" s="75">
        <f t="shared" si="2"/>
        <v>0</v>
      </c>
      <c r="K20" s="75">
        <f t="shared" si="3"/>
        <v>0</v>
      </c>
      <c r="L20" s="109"/>
      <c r="M20" s="110"/>
      <c r="N20" s="852"/>
    </row>
    <row r="21" spans="1:14" ht="12.75" customHeight="1" x14ac:dyDescent="0.25">
      <c r="A21" s="596" t="s">
        <v>1602</v>
      </c>
      <c r="B21" s="73"/>
      <c r="C21" s="389"/>
      <c r="D21" s="109"/>
      <c r="E21" s="109"/>
      <c r="F21" s="109"/>
      <c r="G21" s="109"/>
      <c r="H21" s="109"/>
      <c r="I21" s="109"/>
      <c r="J21" s="75">
        <f t="shared" si="2"/>
        <v>0</v>
      </c>
      <c r="K21" s="75">
        <f t="shared" si="3"/>
        <v>0</v>
      </c>
      <c r="L21" s="109"/>
      <c r="M21" s="110"/>
      <c r="N21" s="852"/>
    </row>
    <row r="22" spans="1:14" ht="12.75" customHeight="1" x14ac:dyDescent="0.25">
      <c r="A22" s="596" t="s">
        <v>1603</v>
      </c>
      <c r="B22" s="73"/>
      <c r="C22" s="389"/>
      <c r="D22" s="109"/>
      <c r="E22" s="109"/>
      <c r="F22" s="109"/>
      <c r="G22" s="109"/>
      <c r="H22" s="109"/>
      <c r="I22" s="109"/>
      <c r="J22" s="75">
        <f t="shared" si="2"/>
        <v>0</v>
      </c>
      <c r="K22" s="75">
        <f t="shared" si="3"/>
        <v>0</v>
      </c>
      <c r="L22" s="109"/>
      <c r="M22" s="110"/>
      <c r="N22" s="847"/>
    </row>
    <row r="23" spans="1:14" ht="12.75" customHeight="1" x14ac:dyDescent="0.25">
      <c r="A23" s="596" t="s">
        <v>1604</v>
      </c>
      <c r="B23" s="73"/>
      <c r="C23" s="389"/>
      <c r="D23" s="109"/>
      <c r="E23" s="109"/>
      <c r="F23" s="109"/>
      <c r="G23" s="109"/>
      <c r="H23" s="109"/>
      <c r="I23" s="109"/>
      <c r="J23" s="75">
        <f t="shared" si="2"/>
        <v>0</v>
      </c>
      <c r="K23" s="75">
        <f t="shared" si="3"/>
        <v>0</v>
      </c>
      <c r="L23" s="109"/>
      <c r="M23" s="110"/>
      <c r="N23" s="852"/>
    </row>
    <row r="24" spans="1:14" ht="12.75" customHeight="1" x14ac:dyDescent="0.25">
      <c r="A24" s="596" t="s">
        <v>1605</v>
      </c>
      <c r="B24" s="73"/>
      <c r="C24" s="389"/>
      <c r="D24" s="109"/>
      <c r="E24" s="109"/>
      <c r="F24" s="109"/>
      <c r="G24" s="109"/>
      <c r="H24" s="109"/>
      <c r="I24" s="109"/>
      <c r="J24" s="75">
        <f t="shared" si="2"/>
        <v>0</v>
      </c>
      <c r="K24" s="75">
        <f t="shared" si="3"/>
        <v>0</v>
      </c>
      <c r="L24" s="109"/>
      <c r="M24" s="110"/>
      <c r="N24" s="847"/>
    </row>
    <row r="25" spans="1:14" ht="12.75" customHeight="1" x14ac:dyDescent="0.25">
      <c r="A25" s="596" t="s">
        <v>1606</v>
      </c>
      <c r="B25" s="73"/>
      <c r="C25" s="389"/>
      <c r="D25" s="109"/>
      <c r="E25" s="109"/>
      <c r="F25" s="109"/>
      <c r="G25" s="109"/>
      <c r="H25" s="109"/>
      <c r="I25" s="109">
        <v>14700000</v>
      </c>
      <c r="J25" s="75">
        <f t="shared" si="2"/>
        <v>14700000</v>
      </c>
      <c r="K25" s="75">
        <f t="shared" si="3"/>
        <v>14700000</v>
      </c>
      <c r="L25" s="109"/>
      <c r="M25" s="110"/>
      <c r="N25" s="852"/>
    </row>
    <row r="26" spans="1:14" ht="12.75" customHeight="1" x14ac:dyDescent="0.25">
      <c r="A26" s="596" t="s">
        <v>1607</v>
      </c>
      <c r="B26" s="73"/>
      <c r="C26" s="389"/>
      <c r="D26" s="109"/>
      <c r="E26" s="109"/>
      <c r="F26" s="109"/>
      <c r="G26" s="109"/>
      <c r="H26" s="109"/>
      <c r="I26" s="109"/>
      <c r="J26" s="75">
        <f t="shared" si="2"/>
        <v>0</v>
      </c>
      <c r="K26" s="75">
        <f t="shared" si="3"/>
        <v>0</v>
      </c>
      <c r="L26" s="109"/>
      <c r="M26" s="110"/>
      <c r="N26" s="847"/>
    </row>
    <row r="27" spans="1:14" ht="12.75" customHeight="1" x14ac:dyDescent="0.25">
      <c r="A27" s="596" t="s">
        <v>1594</v>
      </c>
      <c r="B27" s="73"/>
      <c r="C27" s="389"/>
      <c r="D27" s="109"/>
      <c r="E27" s="109"/>
      <c r="F27" s="109"/>
      <c r="G27" s="109"/>
      <c r="H27" s="109"/>
      <c r="I27" s="109"/>
      <c r="J27" s="75">
        <f t="shared" si="2"/>
        <v>0</v>
      </c>
      <c r="K27" s="75">
        <f t="shared" si="3"/>
        <v>0</v>
      </c>
      <c r="L27" s="109"/>
      <c r="M27" s="110"/>
      <c r="N27" s="852"/>
    </row>
    <row r="28" spans="1:14" ht="12.75" customHeight="1" x14ac:dyDescent="0.25">
      <c r="A28" s="597" t="s">
        <v>1608</v>
      </c>
      <c r="B28" s="73"/>
      <c r="C28" s="1135">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2"/>
    </row>
    <row r="29" spans="1:14" ht="12.75" customHeight="1" x14ac:dyDescent="0.25">
      <c r="A29" s="596" t="s">
        <v>1609</v>
      </c>
      <c r="B29" s="73"/>
      <c r="C29" s="389"/>
      <c r="D29" s="109"/>
      <c r="E29" s="109"/>
      <c r="F29" s="109"/>
      <c r="G29" s="109"/>
      <c r="H29" s="109"/>
      <c r="I29" s="109"/>
      <c r="J29" s="75">
        <f t="shared" si="2"/>
        <v>0</v>
      </c>
      <c r="K29" s="75">
        <f t="shared" si="3"/>
        <v>0</v>
      </c>
      <c r="L29" s="109"/>
      <c r="M29" s="110"/>
      <c r="N29" s="852"/>
    </row>
    <row r="30" spans="1:14" ht="12.4" customHeight="1" x14ac:dyDescent="0.25">
      <c r="A30" s="596" t="s">
        <v>1610</v>
      </c>
      <c r="B30" s="73"/>
      <c r="C30" s="389"/>
      <c r="D30" s="109"/>
      <c r="E30" s="109"/>
      <c r="F30" s="109"/>
      <c r="G30" s="109"/>
      <c r="H30" s="109"/>
      <c r="I30" s="109"/>
      <c r="J30" s="75">
        <f t="shared" si="2"/>
        <v>0</v>
      </c>
      <c r="K30" s="75">
        <f t="shared" si="3"/>
        <v>0</v>
      </c>
      <c r="L30" s="109"/>
      <c r="M30" s="110"/>
      <c r="N30" s="852"/>
    </row>
    <row r="31" spans="1:14" ht="12.75" customHeight="1" x14ac:dyDescent="0.25">
      <c r="A31" s="596" t="s">
        <v>1611</v>
      </c>
      <c r="B31" s="73"/>
      <c r="C31" s="389"/>
      <c r="D31" s="109"/>
      <c r="E31" s="109"/>
      <c r="F31" s="109"/>
      <c r="G31" s="109"/>
      <c r="H31" s="109"/>
      <c r="I31" s="109"/>
      <c r="J31" s="75">
        <f t="shared" si="2"/>
        <v>0</v>
      </c>
      <c r="K31" s="75">
        <f t="shared" si="3"/>
        <v>0</v>
      </c>
      <c r="L31" s="109"/>
      <c r="M31" s="110"/>
      <c r="N31" s="852"/>
    </row>
    <row r="32" spans="1:14" ht="12.75" customHeight="1" x14ac:dyDescent="0.25">
      <c r="A32" s="596" t="s">
        <v>1612</v>
      </c>
      <c r="B32" s="73"/>
      <c r="C32" s="389"/>
      <c r="D32" s="109"/>
      <c r="E32" s="109"/>
      <c r="F32" s="109"/>
      <c r="G32" s="109"/>
      <c r="H32" s="109"/>
      <c r="I32" s="109"/>
      <c r="J32" s="75">
        <f t="shared" si="2"/>
        <v>0</v>
      </c>
      <c r="K32" s="75">
        <f t="shared" si="3"/>
        <v>0</v>
      </c>
      <c r="L32" s="109"/>
      <c r="M32" s="110"/>
      <c r="N32" s="847"/>
    </row>
    <row r="33" spans="1:14" ht="12.75" customHeight="1" x14ac:dyDescent="0.25">
      <c r="A33" s="596" t="s">
        <v>1613</v>
      </c>
      <c r="B33" s="73"/>
      <c r="C33" s="389"/>
      <c r="D33" s="109"/>
      <c r="E33" s="109"/>
      <c r="F33" s="109"/>
      <c r="G33" s="109"/>
      <c r="H33" s="109"/>
      <c r="I33" s="109"/>
      <c r="J33" s="75">
        <f t="shared" si="2"/>
        <v>0</v>
      </c>
      <c r="K33" s="75">
        <f t="shared" si="3"/>
        <v>0</v>
      </c>
      <c r="L33" s="109"/>
      <c r="M33" s="110"/>
      <c r="N33" s="852"/>
    </row>
    <row r="34" spans="1:14" ht="12.75" customHeight="1" x14ac:dyDescent="0.25">
      <c r="A34" s="596" t="s">
        <v>1614</v>
      </c>
      <c r="B34" s="73"/>
      <c r="C34" s="389"/>
      <c r="D34" s="109"/>
      <c r="E34" s="109"/>
      <c r="F34" s="109"/>
      <c r="G34" s="109"/>
      <c r="H34" s="109"/>
      <c r="I34" s="109"/>
      <c r="J34" s="75">
        <f t="shared" si="2"/>
        <v>0</v>
      </c>
      <c r="K34" s="75">
        <f t="shared" si="3"/>
        <v>0</v>
      </c>
      <c r="L34" s="109"/>
      <c r="M34" s="110"/>
      <c r="N34" s="847"/>
    </row>
    <row r="35" spans="1:14" ht="12.75" customHeight="1" x14ac:dyDescent="0.25">
      <c r="A35" s="596" t="s">
        <v>1615</v>
      </c>
      <c r="B35" s="73"/>
      <c r="C35" s="389"/>
      <c r="D35" s="109"/>
      <c r="E35" s="109"/>
      <c r="F35" s="109"/>
      <c r="G35" s="109"/>
      <c r="H35" s="109"/>
      <c r="I35" s="109"/>
      <c r="J35" s="75">
        <f t="shared" si="2"/>
        <v>0</v>
      </c>
      <c r="K35" s="75">
        <f t="shared" si="3"/>
        <v>0</v>
      </c>
      <c r="L35" s="109"/>
      <c r="M35" s="110"/>
      <c r="N35" s="852"/>
    </row>
    <row r="36" spans="1:14" ht="12.75" customHeight="1" x14ac:dyDescent="0.25">
      <c r="A36" s="596" t="s">
        <v>1616</v>
      </c>
      <c r="B36" s="73"/>
      <c r="C36" s="389"/>
      <c r="D36" s="109"/>
      <c r="E36" s="109"/>
      <c r="F36" s="109"/>
      <c r="G36" s="109"/>
      <c r="H36" s="109"/>
      <c r="I36" s="109"/>
      <c r="J36" s="75">
        <f t="shared" si="2"/>
        <v>0</v>
      </c>
      <c r="K36" s="75">
        <f t="shared" si="3"/>
        <v>0</v>
      </c>
      <c r="L36" s="109"/>
      <c r="M36" s="110"/>
      <c r="N36" s="847"/>
    </row>
    <row r="37" spans="1:14" ht="12.75" customHeight="1" x14ac:dyDescent="0.25">
      <c r="A37" s="596" t="s">
        <v>1617</v>
      </c>
      <c r="B37" s="73"/>
      <c r="C37" s="389"/>
      <c r="D37" s="109"/>
      <c r="E37" s="109"/>
      <c r="F37" s="109"/>
      <c r="G37" s="109"/>
      <c r="H37" s="109"/>
      <c r="I37" s="109"/>
      <c r="J37" s="75">
        <f t="shared" si="2"/>
        <v>0</v>
      </c>
      <c r="K37" s="75">
        <f t="shared" si="3"/>
        <v>0</v>
      </c>
      <c r="L37" s="109"/>
      <c r="M37" s="110"/>
      <c r="N37" s="852"/>
    </row>
    <row r="38" spans="1:14" ht="12.75" customHeight="1" x14ac:dyDescent="0.25">
      <c r="A38" s="596" t="s">
        <v>1594</v>
      </c>
      <c r="B38" s="73"/>
      <c r="C38" s="389"/>
      <c r="D38" s="109"/>
      <c r="E38" s="109"/>
      <c r="F38" s="109"/>
      <c r="G38" s="109"/>
      <c r="H38" s="109"/>
      <c r="I38" s="109"/>
      <c r="J38" s="75">
        <f t="shared" si="2"/>
        <v>0</v>
      </c>
      <c r="K38" s="75">
        <f t="shared" si="3"/>
        <v>0</v>
      </c>
      <c r="L38" s="109"/>
      <c r="M38" s="110"/>
      <c r="N38" s="852"/>
    </row>
    <row r="39" spans="1:14" ht="12.75" customHeight="1" x14ac:dyDescent="0.25">
      <c r="A39" s="597" t="s">
        <v>1618</v>
      </c>
      <c r="B39" s="73"/>
      <c r="C39" s="1135">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1619</v>
      </c>
      <c r="B40" s="73"/>
      <c r="C40" s="389"/>
      <c r="D40" s="109"/>
      <c r="E40" s="109"/>
      <c r="F40" s="109"/>
      <c r="G40" s="109"/>
      <c r="H40" s="109"/>
      <c r="I40" s="109"/>
      <c r="J40" s="75">
        <f t="shared" si="2"/>
        <v>0</v>
      </c>
      <c r="K40" s="75">
        <f t="shared" si="3"/>
        <v>0</v>
      </c>
      <c r="L40" s="109"/>
      <c r="M40" s="110"/>
      <c r="N40" s="847"/>
    </row>
    <row r="41" spans="1:14" ht="12.75" customHeight="1" x14ac:dyDescent="0.25">
      <c r="A41" s="596" t="s">
        <v>484</v>
      </c>
      <c r="B41" s="73"/>
      <c r="C41" s="389"/>
      <c r="D41" s="109"/>
      <c r="E41" s="109"/>
      <c r="F41" s="109"/>
      <c r="G41" s="109"/>
      <c r="H41" s="109"/>
      <c r="I41" s="109"/>
      <c r="J41" s="75">
        <f t="shared" si="2"/>
        <v>0</v>
      </c>
      <c r="K41" s="75">
        <f t="shared" si="3"/>
        <v>0</v>
      </c>
      <c r="L41" s="109"/>
      <c r="M41" s="110"/>
      <c r="N41" s="847"/>
    </row>
    <row r="42" spans="1:14" ht="12.75" customHeight="1" x14ac:dyDescent="0.25">
      <c r="A42" s="596" t="s">
        <v>1620</v>
      </c>
      <c r="B42" s="73"/>
      <c r="C42" s="389"/>
      <c r="D42" s="109"/>
      <c r="E42" s="109"/>
      <c r="F42" s="109"/>
      <c r="G42" s="109"/>
      <c r="H42" s="109"/>
      <c r="I42" s="109"/>
      <c r="J42" s="75">
        <f t="shared" si="2"/>
        <v>0</v>
      </c>
      <c r="K42" s="75">
        <f t="shared" si="3"/>
        <v>0</v>
      </c>
      <c r="L42" s="109"/>
      <c r="M42" s="110"/>
      <c r="N42" s="852"/>
    </row>
    <row r="43" spans="1:14" ht="12.75" customHeight="1" x14ac:dyDescent="0.25">
      <c r="A43" s="596" t="s">
        <v>1621</v>
      </c>
      <c r="B43" s="73"/>
      <c r="C43" s="389"/>
      <c r="D43" s="109"/>
      <c r="E43" s="109"/>
      <c r="F43" s="109"/>
      <c r="G43" s="109"/>
      <c r="H43" s="109"/>
      <c r="I43" s="109"/>
      <c r="J43" s="75">
        <f t="shared" si="2"/>
        <v>0</v>
      </c>
      <c r="K43" s="75">
        <f t="shared" si="3"/>
        <v>0</v>
      </c>
      <c r="L43" s="109"/>
      <c r="M43" s="110"/>
      <c r="N43" s="852"/>
    </row>
    <row r="44" spans="1:14" ht="12.75" customHeight="1" x14ac:dyDescent="0.25">
      <c r="A44" s="596" t="s">
        <v>1622</v>
      </c>
      <c r="B44" s="73"/>
      <c r="C44" s="389"/>
      <c r="D44" s="109"/>
      <c r="E44" s="109"/>
      <c r="F44" s="109"/>
      <c r="G44" s="109"/>
      <c r="H44" s="109"/>
      <c r="I44" s="109"/>
      <c r="J44" s="75">
        <f t="shared" si="2"/>
        <v>0</v>
      </c>
      <c r="K44" s="75">
        <f t="shared" si="3"/>
        <v>0</v>
      </c>
      <c r="L44" s="109"/>
      <c r="M44" s="110"/>
      <c r="N44" s="847"/>
    </row>
    <row r="45" spans="1:14" ht="12.75" customHeight="1" x14ac:dyDescent="0.25">
      <c r="A45" s="596" t="s">
        <v>1594</v>
      </c>
      <c r="B45" s="73"/>
      <c r="C45" s="389"/>
      <c r="D45" s="109"/>
      <c r="E45" s="109"/>
      <c r="F45" s="109"/>
      <c r="G45" s="109"/>
      <c r="H45" s="109"/>
      <c r="I45" s="109"/>
      <c r="J45" s="75">
        <f t="shared" si="2"/>
        <v>0</v>
      </c>
      <c r="K45" s="75">
        <f t="shared" si="3"/>
        <v>0</v>
      </c>
      <c r="L45" s="109"/>
      <c r="M45" s="110"/>
      <c r="N45" s="852"/>
    </row>
    <row r="46" spans="1:14" ht="12.75" customHeight="1" x14ac:dyDescent="0.25">
      <c r="A46" s="597" t="s">
        <v>1623</v>
      </c>
      <c r="B46" s="73"/>
      <c r="C46" s="1135">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1624</v>
      </c>
      <c r="B47" s="73"/>
      <c r="C47" s="389"/>
      <c r="D47" s="109"/>
      <c r="E47" s="109"/>
      <c r="F47" s="109"/>
      <c r="G47" s="109"/>
      <c r="H47" s="109"/>
      <c r="I47" s="109"/>
      <c r="J47" s="75">
        <f t="shared" si="2"/>
        <v>0</v>
      </c>
      <c r="K47" s="75">
        <f t="shared" si="3"/>
        <v>0</v>
      </c>
      <c r="L47" s="109"/>
      <c r="M47" s="110"/>
      <c r="N47" s="847"/>
    </row>
    <row r="48" spans="1:14" ht="12.75" customHeight="1" x14ac:dyDescent="0.25">
      <c r="A48" s="596" t="s">
        <v>1625</v>
      </c>
      <c r="B48" s="73"/>
      <c r="C48" s="389"/>
      <c r="D48" s="109"/>
      <c r="E48" s="109"/>
      <c r="F48" s="109"/>
      <c r="G48" s="109"/>
      <c r="H48" s="109"/>
      <c r="I48" s="109"/>
      <c r="J48" s="75">
        <f t="shared" si="2"/>
        <v>0</v>
      </c>
      <c r="K48" s="75">
        <f t="shared" si="3"/>
        <v>0</v>
      </c>
      <c r="L48" s="109"/>
      <c r="M48" s="110"/>
      <c r="N48" s="847"/>
    </row>
    <row r="49" spans="1:14" ht="12.75" customHeight="1" x14ac:dyDescent="0.25">
      <c r="A49" s="596" t="s">
        <v>1626</v>
      </c>
      <c r="B49" s="73"/>
      <c r="C49" s="389"/>
      <c r="D49" s="109"/>
      <c r="E49" s="109"/>
      <c r="F49" s="109"/>
      <c r="G49" s="109"/>
      <c r="H49" s="109"/>
      <c r="I49" s="109"/>
      <c r="J49" s="75">
        <f t="shared" si="2"/>
        <v>0</v>
      </c>
      <c r="K49" s="75">
        <f t="shared" si="3"/>
        <v>0</v>
      </c>
      <c r="L49" s="109"/>
      <c r="M49" s="110"/>
      <c r="N49" s="852"/>
    </row>
    <row r="50" spans="1:14" ht="12.75" customHeight="1" x14ac:dyDescent="0.25">
      <c r="A50" s="596" t="s">
        <v>1627</v>
      </c>
      <c r="B50" s="73"/>
      <c r="C50" s="389"/>
      <c r="D50" s="109"/>
      <c r="E50" s="109"/>
      <c r="F50" s="109"/>
      <c r="G50" s="109"/>
      <c r="H50" s="109"/>
      <c r="I50" s="109"/>
      <c r="J50" s="75">
        <f t="shared" si="2"/>
        <v>0</v>
      </c>
      <c r="K50" s="75">
        <f t="shared" si="3"/>
        <v>0</v>
      </c>
      <c r="L50" s="109"/>
      <c r="M50" s="110"/>
      <c r="N50" s="852"/>
    </row>
    <row r="51" spans="1:14" ht="12.75" customHeight="1" x14ac:dyDescent="0.25">
      <c r="A51" s="596" t="s">
        <v>1628</v>
      </c>
      <c r="B51" s="73"/>
      <c r="C51" s="389"/>
      <c r="D51" s="109"/>
      <c r="E51" s="109"/>
      <c r="F51" s="109"/>
      <c r="G51" s="109"/>
      <c r="H51" s="109"/>
      <c r="I51" s="109"/>
      <c r="J51" s="75">
        <f t="shared" si="2"/>
        <v>0</v>
      </c>
      <c r="K51" s="75">
        <f t="shared" si="3"/>
        <v>0</v>
      </c>
      <c r="L51" s="109"/>
      <c r="M51" s="110"/>
      <c r="N51" s="852"/>
    </row>
    <row r="52" spans="1:14" ht="12.75" customHeight="1" x14ac:dyDescent="0.25">
      <c r="A52" s="596" t="s">
        <v>1629</v>
      </c>
      <c r="B52" s="73"/>
      <c r="C52" s="389"/>
      <c r="D52" s="109"/>
      <c r="E52" s="109"/>
      <c r="F52" s="109"/>
      <c r="G52" s="109"/>
      <c r="H52" s="109"/>
      <c r="I52" s="109"/>
      <c r="J52" s="75">
        <f t="shared" si="2"/>
        <v>0</v>
      </c>
      <c r="K52" s="75">
        <f t="shared" si="3"/>
        <v>0</v>
      </c>
      <c r="L52" s="109"/>
      <c r="M52" s="110"/>
      <c r="N52" s="847"/>
    </row>
    <row r="53" spans="1:14" ht="12.75" customHeight="1" x14ac:dyDescent="0.25">
      <c r="A53" s="596" t="s">
        <v>1594</v>
      </c>
      <c r="B53" s="73"/>
      <c r="C53" s="389"/>
      <c r="D53" s="109"/>
      <c r="E53" s="109"/>
      <c r="F53" s="109"/>
      <c r="G53" s="109"/>
      <c r="H53" s="109"/>
      <c r="I53" s="109"/>
      <c r="J53" s="75">
        <f t="shared" si="2"/>
        <v>0</v>
      </c>
      <c r="K53" s="75">
        <f t="shared" si="3"/>
        <v>0</v>
      </c>
      <c r="L53" s="109"/>
      <c r="M53" s="110"/>
      <c r="N53" s="852"/>
    </row>
    <row r="54" spans="1:14" ht="12.75" customHeight="1" x14ac:dyDescent="0.25">
      <c r="A54" s="595" t="s">
        <v>1630</v>
      </c>
      <c r="B54" s="73"/>
      <c r="C54" s="1135">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1631</v>
      </c>
      <c r="B55" s="73"/>
      <c r="C55" s="389"/>
      <c r="D55" s="109"/>
      <c r="E55" s="109"/>
      <c r="F55" s="109"/>
      <c r="G55" s="109"/>
      <c r="H55" s="109"/>
      <c r="I55" s="109"/>
      <c r="J55" s="75">
        <f t="shared" si="2"/>
        <v>0</v>
      </c>
      <c r="K55" s="75">
        <f t="shared" si="3"/>
        <v>0</v>
      </c>
      <c r="L55" s="109"/>
      <c r="M55" s="110"/>
      <c r="N55" s="847"/>
    </row>
    <row r="56" spans="1:14" ht="12.75" customHeight="1" x14ac:dyDescent="0.25">
      <c r="A56" s="596" t="s">
        <v>1632</v>
      </c>
      <c r="B56" s="73"/>
      <c r="C56" s="389"/>
      <c r="D56" s="109"/>
      <c r="E56" s="109"/>
      <c r="F56" s="109"/>
      <c r="G56" s="109"/>
      <c r="H56" s="109"/>
      <c r="I56" s="109"/>
      <c r="J56" s="75">
        <f t="shared" si="2"/>
        <v>0</v>
      </c>
      <c r="K56" s="75">
        <f t="shared" si="3"/>
        <v>0</v>
      </c>
      <c r="L56" s="109"/>
      <c r="M56" s="110"/>
      <c r="N56" s="847"/>
    </row>
    <row r="57" spans="1:14" ht="12.75" customHeight="1" x14ac:dyDescent="0.25">
      <c r="A57" s="596" t="s">
        <v>1633</v>
      </c>
      <c r="B57" s="73"/>
      <c r="C57" s="389"/>
      <c r="D57" s="109"/>
      <c r="E57" s="109"/>
      <c r="F57" s="109"/>
      <c r="G57" s="109"/>
      <c r="H57" s="109"/>
      <c r="I57" s="109"/>
      <c r="J57" s="75">
        <f t="shared" si="2"/>
        <v>0</v>
      </c>
      <c r="K57" s="75">
        <f t="shared" si="3"/>
        <v>0</v>
      </c>
      <c r="L57" s="109"/>
      <c r="M57" s="110"/>
      <c r="N57" s="852"/>
    </row>
    <row r="58" spans="1:14" ht="12.75" customHeight="1" x14ac:dyDescent="0.25">
      <c r="A58" s="596" t="s">
        <v>1596</v>
      </c>
      <c r="B58" s="73"/>
      <c r="C58" s="389"/>
      <c r="D58" s="109"/>
      <c r="E58" s="109"/>
      <c r="F58" s="109"/>
      <c r="G58" s="109"/>
      <c r="H58" s="109"/>
      <c r="I58" s="109"/>
      <c r="J58" s="75">
        <f t="shared" si="2"/>
        <v>0</v>
      </c>
      <c r="K58" s="75">
        <f t="shared" si="3"/>
        <v>0</v>
      </c>
      <c r="L58" s="109"/>
      <c r="M58" s="110"/>
      <c r="N58" s="852"/>
    </row>
    <row r="59" spans="1:14" ht="12.75" customHeight="1" x14ac:dyDescent="0.25">
      <c r="A59" s="596" t="s">
        <v>1597</v>
      </c>
      <c r="B59" s="73"/>
      <c r="C59" s="389"/>
      <c r="D59" s="109"/>
      <c r="E59" s="109"/>
      <c r="F59" s="109"/>
      <c r="G59" s="109"/>
      <c r="H59" s="109"/>
      <c r="I59" s="109"/>
      <c r="J59" s="75">
        <f t="shared" si="2"/>
        <v>0</v>
      </c>
      <c r="K59" s="75">
        <f t="shared" si="3"/>
        <v>0</v>
      </c>
      <c r="L59" s="109"/>
      <c r="M59" s="110"/>
      <c r="N59" s="852"/>
    </row>
    <row r="60" spans="1:14" ht="12.75" customHeight="1" x14ac:dyDescent="0.25">
      <c r="A60" s="596" t="s">
        <v>1598</v>
      </c>
      <c r="B60" s="73"/>
      <c r="C60" s="389"/>
      <c r="D60" s="109"/>
      <c r="E60" s="109"/>
      <c r="F60" s="109"/>
      <c r="G60" s="109"/>
      <c r="H60" s="109"/>
      <c r="I60" s="109"/>
      <c r="J60" s="75">
        <f t="shared" si="2"/>
        <v>0</v>
      </c>
      <c r="K60" s="75">
        <f t="shared" si="3"/>
        <v>0</v>
      </c>
      <c r="L60" s="109"/>
      <c r="M60" s="110"/>
      <c r="N60" s="852"/>
    </row>
    <row r="61" spans="1:14" ht="12.75" customHeight="1" x14ac:dyDescent="0.25">
      <c r="A61" s="596" t="s">
        <v>1604</v>
      </c>
      <c r="B61" s="73"/>
      <c r="C61" s="389"/>
      <c r="D61" s="109"/>
      <c r="E61" s="109"/>
      <c r="F61" s="109"/>
      <c r="G61" s="109"/>
      <c r="H61" s="109"/>
      <c r="I61" s="109"/>
      <c r="J61" s="75">
        <f t="shared" si="2"/>
        <v>0</v>
      </c>
      <c r="K61" s="75">
        <f t="shared" si="3"/>
        <v>0</v>
      </c>
      <c r="L61" s="109"/>
      <c r="M61" s="110"/>
      <c r="N61" s="852"/>
    </row>
    <row r="62" spans="1:14" ht="12.75" customHeight="1" x14ac:dyDescent="0.25">
      <c r="A62" s="596" t="s">
        <v>1607</v>
      </c>
      <c r="B62" s="73"/>
      <c r="C62" s="389"/>
      <c r="D62" s="109"/>
      <c r="E62" s="109"/>
      <c r="F62" s="109"/>
      <c r="G62" s="109"/>
      <c r="H62" s="109"/>
      <c r="I62" s="109"/>
      <c r="J62" s="75">
        <f t="shared" si="2"/>
        <v>0</v>
      </c>
      <c r="K62" s="75">
        <f t="shared" si="3"/>
        <v>0</v>
      </c>
      <c r="L62" s="109"/>
      <c r="M62" s="110"/>
      <c r="N62" s="847"/>
    </row>
    <row r="63" spans="1:14" ht="12.75" customHeight="1" x14ac:dyDescent="0.25">
      <c r="A63" s="596" t="s">
        <v>1594</v>
      </c>
      <c r="B63" s="73"/>
      <c r="C63" s="389"/>
      <c r="D63" s="109"/>
      <c r="E63" s="109"/>
      <c r="F63" s="109"/>
      <c r="G63" s="109"/>
      <c r="H63" s="109"/>
      <c r="I63" s="109"/>
      <c r="J63" s="75">
        <f t="shared" si="2"/>
        <v>0</v>
      </c>
      <c r="K63" s="75">
        <f t="shared" si="3"/>
        <v>0</v>
      </c>
      <c r="L63" s="109"/>
      <c r="M63" s="110"/>
      <c r="N63" s="852"/>
    </row>
    <row r="64" spans="1:14" ht="12.75" customHeight="1" x14ac:dyDescent="0.25">
      <c r="A64" s="597" t="s">
        <v>1634</v>
      </c>
      <c r="B64" s="73"/>
      <c r="C64" s="1135">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1635</v>
      </c>
      <c r="B65" s="73"/>
      <c r="C65" s="389"/>
      <c r="D65" s="109"/>
      <c r="E65" s="109"/>
      <c r="F65" s="109"/>
      <c r="G65" s="109"/>
      <c r="H65" s="109"/>
      <c r="I65" s="109"/>
      <c r="J65" s="75">
        <f t="shared" si="2"/>
        <v>0</v>
      </c>
      <c r="K65" s="75">
        <f t="shared" si="3"/>
        <v>0</v>
      </c>
      <c r="L65" s="109"/>
      <c r="M65" s="110"/>
      <c r="N65" s="847"/>
    </row>
    <row r="66" spans="1:14" ht="12.75" customHeight="1" x14ac:dyDescent="0.25">
      <c r="A66" s="596" t="s">
        <v>1636</v>
      </c>
      <c r="B66" s="73"/>
      <c r="C66" s="389"/>
      <c r="D66" s="109"/>
      <c r="E66" s="109"/>
      <c r="F66" s="109"/>
      <c r="G66" s="109"/>
      <c r="H66" s="109"/>
      <c r="I66" s="109"/>
      <c r="J66" s="75">
        <f t="shared" si="2"/>
        <v>0</v>
      </c>
      <c r="K66" s="75">
        <f t="shared" si="3"/>
        <v>0</v>
      </c>
      <c r="L66" s="109"/>
      <c r="M66" s="110"/>
      <c r="N66" s="847"/>
    </row>
    <row r="67" spans="1:14" ht="12.75" customHeight="1" x14ac:dyDescent="0.25">
      <c r="A67" s="596" t="s">
        <v>1637</v>
      </c>
      <c r="B67" s="73"/>
      <c r="C67" s="389"/>
      <c r="D67" s="109"/>
      <c r="E67" s="109"/>
      <c r="F67" s="109"/>
      <c r="G67" s="109"/>
      <c r="H67" s="109"/>
      <c r="I67" s="109"/>
      <c r="J67" s="75">
        <f t="shared" si="2"/>
        <v>0</v>
      </c>
      <c r="K67" s="75">
        <f t="shared" si="3"/>
        <v>0</v>
      </c>
      <c r="L67" s="109"/>
      <c r="M67" s="110"/>
      <c r="N67" s="852"/>
    </row>
    <row r="68" spans="1:14" ht="12.75" customHeight="1" x14ac:dyDescent="0.25">
      <c r="A68" s="596" t="s">
        <v>1638</v>
      </c>
      <c r="B68" s="73"/>
      <c r="C68" s="389"/>
      <c r="D68" s="109"/>
      <c r="E68" s="109"/>
      <c r="F68" s="109"/>
      <c r="G68" s="109"/>
      <c r="H68" s="109"/>
      <c r="I68" s="109"/>
      <c r="J68" s="75">
        <f t="shared" si="2"/>
        <v>0</v>
      </c>
      <c r="K68" s="75">
        <f t="shared" si="3"/>
        <v>0</v>
      </c>
      <c r="L68" s="109"/>
      <c r="M68" s="110"/>
      <c r="N68" s="847"/>
    </row>
    <row r="69" spans="1:14" ht="12.75" customHeight="1" x14ac:dyDescent="0.25">
      <c r="A69" s="596" t="s">
        <v>1594</v>
      </c>
      <c r="B69" s="73"/>
      <c r="C69" s="389"/>
      <c r="D69" s="109"/>
      <c r="E69" s="109"/>
      <c r="F69" s="109"/>
      <c r="G69" s="109"/>
      <c r="H69" s="109"/>
      <c r="I69" s="109"/>
      <c r="J69" s="75">
        <f t="shared" si="2"/>
        <v>0</v>
      </c>
      <c r="K69" s="75">
        <f t="shared" si="3"/>
        <v>0</v>
      </c>
      <c r="L69" s="109"/>
      <c r="M69" s="110"/>
      <c r="N69" s="852"/>
    </row>
    <row r="70" spans="1:14" ht="12.75" customHeight="1" x14ac:dyDescent="0.25">
      <c r="A70" s="595" t="s">
        <v>1639</v>
      </c>
      <c r="B70" s="73"/>
      <c r="C70" s="1135">
        <f t="shared" ref="C70:M70" si="11">SUM(C71:C74)</f>
        <v>12506765</v>
      </c>
      <c r="D70" s="132">
        <f t="shared" si="11"/>
        <v>0</v>
      </c>
      <c r="E70" s="132">
        <f t="shared" si="11"/>
        <v>0</v>
      </c>
      <c r="F70" s="132">
        <f t="shared" si="11"/>
        <v>0</v>
      </c>
      <c r="G70" s="132">
        <f t="shared" si="11"/>
        <v>0</v>
      </c>
      <c r="H70" s="132">
        <f t="shared" si="11"/>
        <v>0</v>
      </c>
      <c r="I70" s="132">
        <f t="shared" si="11"/>
        <v>-10006765</v>
      </c>
      <c r="J70" s="75">
        <f t="shared" si="2"/>
        <v>-10006765</v>
      </c>
      <c r="K70" s="75">
        <f t="shared" si="3"/>
        <v>2500000</v>
      </c>
      <c r="L70" s="132">
        <f t="shared" si="11"/>
        <v>0</v>
      </c>
      <c r="M70" s="133">
        <f t="shared" si="11"/>
        <v>0</v>
      </c>
      <c r="N70" s="852"/>
    </row>
    <row r="71" spans="1:14" ht="12.75" customHeight="1" x14ac:dyDescent="0.25">
      <c r="A71" s="596" t="s">
        <v>1640</v>
      </c>
      <c r="B71" s="73"/>
      <c r="C71" s="389"/>
      <c r="D71" s="109"/>
      <c r="E71" s="109"/>
      <c r="F71" s="109"/>
      <c r="G71" s="109"/>
      <c r="H71" s="109"/>
      <c r="I71" s="109"/>
      <c r="J71" s="75">
        <f t="shared" si="2"/>
        <v>0</v>
      </c>
      <c r="K71" s="75">
        <f t="shared" si="3"/>
        <v>0</v>
      </c>
      <c r="L71" s="109"/>
      <c r="M71" s="110"/>
      <c r="N71" s="852"/>
    </row>
    <row r="72" spans="1:14" ht="12.75" customHeight="1" x14ac:dyDescent="0.25">
      <c r="A72" s="596" t="s">
        <v>1641</v>
      </c>
      <c r="B72" s="73"/>
      <c r="C72" s="389"/>
      <c r="D72" s="109"/>
      <c r="E72" s="109"/>
      <c r="F72" s="109"/>
      <c r="G72" s="109"/>
      <c r="H72" s="109"/>
      <c r="I72" s="109"/>
      <c r="J72" s="75">
        <f t="shared" si="2"/>
        <v>0</v>
      </c>
      <c r="K72" s="75">
        <f t="shared" si="3"/>
        <v>0</v>
      </c>
      <c r="L72" s="109"/>
      <c r="M72" s="110"/>
      <c r="N72" s="852"/>
    </row>
    <row r="73" spans="1:14" ht="12.75" customHeight="1" x14ac:dyDescent="0.25">
      <c r="A73" s="596" t="s">
        <v>1642</v>
      </c>
      <c r="B73" s="73"/>
      <c r="C73" s="389"/>
      <c r="D73" s="109"/>
      <c r="E73" s="109"/>
      <c r="F73" s="109"/>
      <c r="G73" s="109"/>
      <c r="H73" s="109"/>
      <c r="I73" s="109"/>
      <c r="J73" s="75">
        <f t="shared" ref="J73:J136" si="12">SUM(E73:I73)</f>
        <v>0</v>
      </c>
      <c r="K73" s="75">
        <f t="shared" ref="K73:K136" si="13">IF(D73=0,C73+J73,D73+J73)</f>
        <v>0</v>
      </c>
      <c r="L73" s="109"/>
      <c r="M73" s="110"/>
      <c r="N73" s="852"/>
    </row>
    <row r="74" spans="1:14" ht="12.75" customHeight="1" x14ac:dyDescent="0.25">
      <c r="A74" s="596" t="s">
        <v>1594</v>
      </c>
      <c r="B74" s="73"/>
      <c r="C74" s="109">
        <v>12506765</v>
      </c>
      <c r="D74" s="109"/>
      <c r="E74" s="109"/>
      <c r="F74" s="109"/>
      <c r="G74" s="109"/>
      <c r="H74" s="109"/>
      <c r="I74" s="109">
        <f>2500000-12506765</f>
        <v>-10006765</v>
      </c>
      <c r="J74" s="75">
        <f t="shared" si="12"/>
        <v>-10006765</v>
      </c>
      <c r="K74" s="75">
        <f t="shared" si="13"/>
        <v>2500000</v>
      </c>
      <c r="L74" s="109"/>
      <c r="M74" s="110"/>
      <c r="N74" s="852"/>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1643</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1644</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2"/>
    </row>
    <row r="78" spans="1:14" ht="12.75" customHeight="1" x14ac:dyDescent="0.25">
      <c r="A78" s="596" t="s">
        <v>1645</v>
      </c>
      <c r="B78" s="73"/>
      <c r="C78" s="130"/>
      <c r="D78" s="109"/>
      <c r="E78" s="109"/>
      <c r="F78" s="109"/>
      <c r="G78" s="109"/>
      <c r="H78" s="109"/>
      <c r="I78" s="109"/>
      <c r="J78" s="75">
        <f t="shared" si="12"/>
        <v>0</v>
      </c>
      <c r="K78" s="75">
        <f t="shared" si="13"/>
        <v>0</v>
      </c>
      <c r="L78" s="109"/>
      <c r="M78" s="110"/>
      <c r="N78" s="128"/>
    </row>
    <row r="79" spans="1:14" ht="12.75" customHeight="1" x14ac:dyDescent="0.25">
      <c r="A79" s="596" t="s">
        <v>1646</v>
      </c>
      <c r="B79" s="73"/>
      <c r="C79" s="130"/>
      <c r="D79" s="109"/>
      <c r="E79" s="109"/>
      <c r="F79" s="109"/>
      <c r="G79" s="109"/>
      <c r="H79" s="109"/>
      <c r="I79" s="109"/>
      <c r="J79" s="75">
        <f t="shared" si="12"/>
        <v>0</v>
      </c>
      <c r="K79" s="75">
        <f t="shared" si="13"/>
        <v>0</v>
      </c>
      <c r="L79" s="109"/>
      <c r="M79" s="110"/>
      <c r="N79" s="128"/>
    </row>
    <row r="80" spans="1:14" ht="12.75" customHeight="1" x14ac:dyDescent="0.25">
      <c r="A80" s="596" t="s">
        <v>1647</v>
      </c>
      <c r="B80" s="73"/>
      <c r="C80" s="130"/>
      <c r="D80" s="109"/>
      <c r="E80" s="109"/>
      <c r="F80" s="109"/>
      <c r="G80" s="109"/>
      <c r="H80" s="109"/>
      <c r="I80" s="109"/>
      <c r="J80" s="75">
        <f t="shared" si="12"/>
        <v>0</v>
      </c>
      <c r="K80" s="75">
        <f t="shared" si="13"/>
        <v>0</v>
      </c>
      <c r="L80" s="109"/>
      <c r="M80" s="110"/>
      <c r="N80" s="128"/>
    </row>
    <row r="81" spans="1:14" ht="12.75" customHeight="1" x14ac:dyDescent="0.25">
      <c r="A81" s="596" t="s">
        <v>1648</v>
      </c>
      <c r="B81" s="73"/>
      <c r="C81" s="130"/>
      <c r="D81" s="109"/>
      <c r="E81" s="109"/>
      <c r="F81" s="109"/>
      <c r="G81" s="109"/>
      <c r="H81" s="109"/>
      <c r="I81" s="109"/>
      <c r="J81" s="75">
        <f t="shared" si="12"/>
        <v>0</v>
      </c>
      <c r="K81" s="75">
        <f t="shared" si="13"/>
        <v>0</v>
      </c>
      <c r="L81" s="109"/>
      <c r="M81" s="110"/>
      <c r="N81" s="128"/>
    </row>
    <row r="82" spans="1:14" ht="12.75" customHeight="1" x14ac:dyDescent="0.25">
      <c r="A82" s="596" t="s">
        <v>1649</v>
      </c>
      <c r="B82" s="73"/>
      <c r="C82" s="130"/>
      <c r="D82" s="109"/>
      <c r="E82" s="109"/>
      <c r="F82" s="109"/>
      <c r="G82" s="109"/>
      <c r="H82" s="109"/>
      <c r="I82" s="109"/>
      <c r="J82" s="75">
        <f t="shared" si="12"/>
        <v>0</v>
      </c>
      <c r="K82" s="75">
        <f t="shared" si="13"/>
        <v>0</v>
      </c>
      <c r="L82" s="109"/>
      <c r="M82" s="110"/>
      <c r="N82" s="128"/>
    </row>
    <row r="83" spans="1:14" ht="12.75" customHeight="1" x14ac:dyDescent="0.25">
      <c r="A83" s="596" t="s">
        <v>1650</v>
      </c>
      <c r="B83" s="73"/>
      <c r="C83" s="130"/>
      <c r="D83" s="109"/>
      <c r="E83" s="109"/>
      <c r="F83" s="109"/>
      <c r="G83" s="109"/>
      <c r="H83" s="109"/>
      <c r="I83" s="109"/>
      <c r="J83" s="75">
        <f t="shared" si="12"/>
        <v>0</v>
      </c>
      <c r="K83" s="75">
        <f t="shared" si="13"/>
        <v>0</v>
      </c>
      <c r="L83" s="109"/>
      <c r="M83" s="110"/>
      <c r="N83" s="128"/>
    </row>
    <row r="84" spans="1:14" ht="12.75" customHeight="1" x14ac:dyDescent="0.25">
      <c r="A84" s="596" t="s">
        <v>1651</v>
      </c>
      <c r="B84" s="73"/>
      <c r="C84" s="130"/>
      <c r="D84" s="109"/>
      <c r="E84" s="109"/>
      <c r="F84" s="109"/>
      <c r="G84" s="109"/>
      <c r="H84" s="109"/>
      <c r="I84" s="109"/>
      <c r="J84" s="75">
        <f t="shared" si="12"/>
        <v>0</v>
      </c>
      <c r="K84" s="75">
        <f t="shared" si="13"/>
        <v>0</v>
      </c>
      <c r="L84" s="109"/>
      <c r="M84" s="110"/>
      <c r="N84" s="128"/>
    </row>
    <row r="85" spans="1:14" ht="12.75" customHeight="1" x14ac:dyDescent="0.25">
      <c r="A85" s="596" t="s">
        <v>1652</v>
      </c>
      <c r="B85" s="73"/>
      <c r="C85" s="130"/>
      <c r="D85" s="109"/>
      <c r="E85" s="109"/>
      <c r="F85" s="109"/>
      <c r="G85" s="109"/>
      <c r="H85" s="109"/>
      <c r="I85" s="109"/>
      <c r="J85" s="75">
        <f t="shared" si="12"/>
        <v>0</v>
      </c>
      <c r="K85" s="75">
        <f t="shared" si="13"/>
        <v>0</v>
      </c>
      <c r="L85" s="109"/>
      <c r="M85" s="110"/>
      <c r="N85" s="128"/>
    </row>
    <row r="86" spans="1:14" ht="12.75" customHeight="1" x14ac:dyDescent="0.25">
      <c r="A86" s="596" t="s">
        <v>1532</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1653</v>
      </c>
      <c r="B88" s="73"/>
      <c r="C88" s="130"/>
      <c r="D88" s="109"/>
      <c r="E88" s="109"/>
      <c r="F88" s="109"/>
      <c r="G88" s="109"/>
      <c r="H88" s="109"/>
      <c r="I88" s="109"/>
      <c r="J88" s="75">
        <f t="shared" si="12"/>
        <v>0</v>
      </c>
      <c r="K88" s="75">
        <f t="shared" si="13"/>
        <v>0</v>
      </c>
      <c r="L88" s="109"/>
      <c r="M88" s="110"/>
      <c r="N88" s="128"/>
    </row>
    <row r="89" spans="1:14" ht="12.75" customHeight="1" x14ac:dyDescent="0.25">
      <c r="A89" s="596" t="s">
        <v>1654</v>
      </c>
      <c r="B89" s="73"/>
      <c r="C89" s="130"/>
      <c r="D89" s="109"/>
      <c r="E89" s="109"/>
      <c r="F89" s="109"/>
      <c r="G89" s="109"/>
      <c r="H89" s="109"/>
      <c r="I89" s="109"/>
      <c r="J89" s="75">
        <f t="shared" si="12"/>
        <v>0</v>
      </c>
      <c r="K89" s="75">
        <f t="shared" si="13"/>
        <v>0</v>
      </c>
      <c r="L89" s="109"/>
      <c r="M89" s="110"/>
      <c r="N89" s="128"/>
    </row>
    <row r="90" spans="1:14" ht="12.75" customHeight="1" x14ac:dyDescent="0.25">
      <c r="A90" s="596" t="s">
        <v>1655</v>
      </c>
      <c r="B90" s="73"/>
      <c r="C90" s="130"/>
      <c r="D90" s="109"/>
      <c r="E90" s="109"/>
      <c r="F90" s="109"/>
      <c r="G90" s="109"/>
      <c r="H90" s="109"/>
      <c r="I90" s="109"/>
      <c r="J90" s="75">
        <f t="shared" si="12"/>
        <v>0</v>
      </c>
      <c r="K90" s="75">
        <f t="shared" si="13"/>
        <v>0</v>
      </c>
      <c r="L90" s="109"/>
      <c r="M90" s="110"/>
      <c r="N90" s="128"/>
    </row>
    <row r="91" spans="1:14" ht="12.75" customHeight="1" x14ac:dyDescent="0.25">
      <c r="A91" s="596" t="s">
        <v>1656</v>
      </c>
      <c r="B91" s="73"/>
      <c r="C91" s="130"/>
      <c r="D91" s="109"/>
      <c r="E91" s="109"/>
      <c r="F91" s="109"/>
      <c r="G91" s="109"/>
      <c r="H91" s="109"/>
      <c r="I91" s="109"/>
      <c r="J91" s="75">
        <f t="shared" si="12"/>
        <v>0</v>
      </c>
      <c r="K91" s="75">
        <f t="shared" si="13"/>
        <v>0</v>
      </c>
      <c r="L91" s="109"/>
      <c r="M91" s="110"/>
      <c r="N91" s="128"/>
    </row>
    <row r="92" spans="1:14" ht="12.75" customHeight="1" x14ac:dyDescent="0.25">
      <c r="A92" s="596" t="s">
        <v>1657</v>
      </c>
      <c r="B92" s="73"/>
      <c r="C92" s="130"/>
      <c r="D92" s="109"/>
      <c r="E92" s="109"/>
      <c r="F92" s="109"/>
      <c r="G92" s="109"/>
      <c r="H92" s="109"/>
      <c r="I92" s="109"/>
      <c r="J92" s="75">
        <f t="shared" si="12"/>
        <v>0</v>
      </c>
      <c r="K92" s="75">
        <f t="shared" si="13"/>
        <v>0</v>
      </c>
      <c r="L92" s="109"/>
      <c r="M92" s="110"/>
      <c r="N92" s="128"/>
    </row>
    <row r="93" spans="1:14" ht="12.75" customHeight="1" x14ac:dyDescent="0.25">
      <c r="A93" s="596" t="s">
        <v>1658</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1659</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52"/>
    </row>
    <row r="97" spans="1:14" ht="12.75" customHeight="1" x14ac:dyDescent="0.25">
      <c r="A97" s="596" t="s">
        <v>1660</v>
      </c>
      <c r="B97" s="73"/>
      <c r="C97" s="130"/>
      <c r="D97" s="109"/>
      <c r="E97" s="109"/>
      <c r="F97" s="109"/>
      <c r="G97" s="109"/>
      <c r="H97" s="109"/>
      <c r="I97" s="109"/>
      <c r="J97" s="75">
        <f t="shared" si="12"/>
        <v>0</v>
      </c>
      <c r="K97" s="75">
        <f t="shared" si="13"/>
        <v>0</v>
      </c>
      <c r="L97" s="109"/>
      <c r="M97" s="110"/>
      <c r="N97" s="128"/>
    </row>
    <row r="98" spans="1:14" ht="12.75" customHeight="1" x14ac:dyDescent="0.25">
      <c r="A98" s="596" t="s">
        <v>1661</v>
      </c>
      <c r="B98" s="73"/>
      <c r="C98" s="130"/>
      <c r="D98" s="109"/>
      <c r="E98" s="109"/>
      <c r="F98" s="109"/>
      <c r="G98" s="109"/>
      <c r="H98" s="109"/>
      <c r="I98" s="109"/>
      <c r="J98" s="75">
        <f t="shared" si="12"/>
        <v>0</v>
      </c>
      <c r="K98" s="75">
        <f t="shared" si="13"/>
        <v>0</v>
      </c>
      <c r="L98" s="109"/>
      <c r="M98" s="110"/>
      <c r="N98" s="128"/>
    </row>
    <row r="99" spans="1:14" ht="12.75" customHeight="1" x14ac:dyDescent="0.25">
      <c r="A99" s="596" t="s">
        <v>1594</v>
      </c>
      <c r="B99" s="73"/>
      <c r="C99" s="130"/>
      <c r="D99" s="109"/>
      <c r="E99" s="109"/>
      <c r="F99" s="109"/>
      <c r="G99" s="109"/>
      <c r="H99" s="109"/>
      <c r="I99" s="109"/>
      <c r="J99" s="75">
        <f t="shared" si="12"/>
        <v>0</v>
      </c>
      <c r="K99" s="75">
        <f t="shared" si="13"/>
        <v>0</v>
      </c>
      <c r="L99" s="109"/>
      <c r="M99" s="110"/>
      <c r="N99" s="128"/>
    </row>
    <row r="100" spans="1:14" ht="10.15" customHeight="1" x14ac:dyDescent="0.25">
      <c r="A100" s="595" t="s">
        <v>1662</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1663</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1664</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1594</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773</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1665</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1666</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1667</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1668</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1669</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39"/>
      <c r="B111" s="73"/>
      <c r="C111" s="74"/>
      <c r="D111" s="75"/>
      <c r="E111" s="75"/>
      <c r="F111" s="75"/>
      <c r="G111" s="75"/>
      <c r="H111" s="75"/>
      <c r="I111" s="75"/>
      <c r="J111" s="75"/>
      <c r="K111" s="75"/>
      <c r="L111" s="75"/>
      <c r="M111" s="76"/>
      <c r="N111" s="128"/>
    </row>
    <row r="112" spans="1:14" ht="12.75" customHeight="1" x14ac:dyDescent="0.25">
      <c r="A112" s="1240" t="s">
        <v>774</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1670</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1671</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1672</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1673</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1671</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1672</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40" t="s">
        <v>775</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1674</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1675</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1676</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1677</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1678</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1679</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1680</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1681</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1682</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1683</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1684</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1594</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621</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7" customFormat="1" ht="12.75" customHeight="1" x14ac:dyDescent="0.25">
      <c r="A134" s="596" t="s">
        <v>1685</v>
      </c>
      <c r="B134" s="1241"/>
      <c r="C134" s="1242"/>
      <c r="D134" s="1243"/>
      <c r="E134" s="1243"/>
      <c r="F134" s="1243"/>
      <c r="G134" s="1243"/>
      <c r="H134" s="1243"/>
      <c r="I134" s="1243"/>
      <c r="J134" s="1244">
        <f t="shared" si="12"/>
        <v>0</v>
      </c>
      <c r="K134" s="1244">
        <f t="shared" si="13"/>
        <v>0</v>
      </c>
      <c r="L134" s="1243"/>
      <c r="M134" s="1245"/>
      <c r="N134" s="1246"/>
    </row>
    <row r="135" spans="1:14" ht="12.75" customHeight="1" x14ac:dyDescent="0.25">
      <c r="A135" s="596" t="s">
        <v>1686</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1594</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1687</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1687</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48"/>
      <c r="B140" s="73"/>
      <c r="C140" s="74"/>
      <c r="D140" s="75"/>
      <c r="E140" s="75"/>
      <c r="F140" s="75"/>
      <c r="G140" s="75"/>
      <c r="H140" s="75"/>
      <c r="I140" s="75"/>
      <c r="J140" s="75"/>
      <c r="K140" s="75"/>
      <c r="L140" s="75"/>
      <c r="M140" s="76"/>
      <c r="N140" s="128"/>
    </row>
    <row r="141" spans="1:14" ht="12.75" customHeight="1" x14ac:dyDescent="0.25">
      <c r="A141" s="493" t="s">
        <v>1688</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1689</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1690</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1691</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1692</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1693</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1694</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1695</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1696</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48"/>
      <c r="B150" s="73"/>
      <c r="C150" s="74"/>
      <c r="D150" s="75"/>
      <c r="E150" s="75"/>
      <c r="F150" s="75"/>
      <c r="G150" s="75"/>
      <c r="H150" s="75"/>
      <c r="I150" s="75"/>
      <c r="J150" s="75"/>
      <c r="K150" s="75"/>
      <c r="L150" s="75"/>
      <c r="M150" s="76"/>
      <c r="N150" s="128"/>
    </row>
    <row r="151" spans="1:14" ht="12.75" customHeight="1" x14ac:dyDescent="0.25">
      <c r="A151" s="493" t="s">
        <v>1697</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1697</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48"/>
      <c r="B153" s="73"/>
      <c r="C153" s="74"/>
      <c r="D153" s="75"/>
      <c r="E153" s="75"/>
      <c r="F153" s="75"/>
      <c r="G153" s="75"/>
      <c r="H153" s="75"/>
      <c r="I153" s="75"/>
      <c r="J153" s="75"/>
      <c r="K153" s="75"/>
      <c r="L153" s="75"/>
      <c r="M153" s="76"/>
      <c r="N153" s="128"/>
    </row>
    <row r="154" spans="1:14" ht="12.75" customHeight="1" x14ac:dyDescent="0.25">
      <c r="A154" s="493" t="s">
        <v>1698</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1698</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48"/>
      <c r="B156" s="73"/>
      <c r="C156" s="74"/>
      <c r="D156" s="75"/>
      <c r="E156" s="75"/>
      <c r="F156" s="75"/>
      <c r="G156" s="75"/>
      <c r="H156" s="75"/>
      <c r="I156" s="75"/>
      <c r="J156" s="75"/>
      <c r="K156" s="75"/>
      <c r="L156" s="75"/>
      <c r="M156" s="76"/>
      <c r="N156" s="128"/>
    </row>
    <row r="157" spans="1:14" ht="12.75" customHeight="1" x14ac:dyDescent="0.25">
      <c r="A157" s="493" t="s">
        <v>1699</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1699</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48"/>
      <c r="B159" s="73"/>
      <c r="C159" s="74"/>
      <c r="D159" s="75"/>
      <c r="E159" s="75"/>
      <c r="F159" s="75"/>
      <c r="G159" s="75"/>
      <c r="H159" s="75"/>
      <c r="I159" s="75"/>
      <c r="J159" s="75"/>
      <c r="K159" s="75"/>
      <c r="L159" s="75"/>
      <c r="M159" s="76"/>
      <c r="N159" s="128"/>
    </row>
    <row r="160" spans="1:14" ht="12.75" customHeight="1" x14ac:dyDescent="0.25">
      <c r="A160" s="493" t="s">
        <v>1700</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1700</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48"/>
      <c r="B162" s="73"/>
      <c r="C162" s="74"/>
      <c r="D162" s="75"/>
      <c r="E162" s="75"/>
      <c r="F162" s="75"/>
      <c r="G162" s="75"/>
      <c r="H162" s="75"/>
      <c r="I162" s="75"/>
      <c r="J162" s="75"/>
      <c r="K162" s="75"/>
      <c r="L162" s="75"/>
      <c r="M162" s="76"/>
      <c r="N162" s="128"/>
    </row>
    <row r="163" spans="1:14" ht="12.75" customHeight="1" x14ac:dyDescent="0.25">
      <c r="A163" s="493" t="s">
        <v>1757</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1757</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48"/>
      <c r="B165" s="73"/>
      <c r="C165" s="74"/>
      <c r="D165" s="75"/>
      <c r="E165" s="75"/>
      <c r="F165" s="75"/>
      <c r="G165" s="75"/>
      <c r="H165" s="75"/>
      <c r="I165" s="75"/>
      <c r="J165" s="75"/>
      <c r="K165" s="75"/>
      <c r="L165" s="75"/>
      <c r="M165" s="76"/>
      <c r="N165" s="128"/>
    </row>
    <row r="166" spans="1:14" ht="12.75" customHeight="1" x14ac:dyDescent="0.25">
      <c r="A166" s="493" t="s">
        <v>1701</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1701</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56" t="s">
        <v>1703</v>
      </c>
      <c r="B169" s="156">
        <v>1</v>
      </c>
      <c r="C169" s="157">
        <f>C8+C76+C105+C112+C120+C151+C138+C141+C154+C157+C160+C163+C166</f>
        <v>75323655.50999999</v>
      </c>
      <c r="D169" s="117">
        <f t="shared" ref="D169:M169" si="35">D8+D76+D105+D112+D120+D151+D138+D141+D154+D157+D160+D163+D166</f>
        <v>0</v>
      </c>
      <c r="E169" s="117">
        <f t="shared" si="35"/>
        <v>0</v>
      </c>
      <c r="F169" s="117">
        <f t="shared" si="35"/>
        <v>0</v>
      </c>
      <c r="G169" s="117">
        <f t="shared" si="35"/>
        <v>0</v>
      </c>
      <c r="H169" s="117">
        <f t="shared" si="35"/>
        <v>0</v>
      </c>
      <c r="I169" s="117">
        <f t="shared" si="35"/>
        <v>1571475.4900000021</v>
      </c>
      <c r="J169" s="117">
        <f t="shared" si="25"/>
        <v>1571475.4900000021</v>
      </c>
      <c r="K169" s="117">
        <f t="shared" si="26"/>
        <v>76895131</v>
      </c>
      <c r="L169" s="117">
        <f t="shared" si="35"/>
        <v>21942728</v>
      </c>
      <c r="M169" s="118">
        <f t="shared" si="35"/>
        <v>27166714</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5" t="s">
        <v>1704</v>
      </c>
      <c r="B172" s="121"/>
      <c r="C172" s="53"/>
      <c r="D172" s="53"/>
      <c r="E172" s="53"/>
      <c r="F172" s="53"/>
      <c r="G172" s="53"/>
      <c r="H172" s="53"/>
      <c r="I172" s="53"/>
      <c r="J172" s="53"/>
      <c r="K172" s="53"/>
      <c r="L172" s="53"/>
      <c r="M172" s="53"/>
      <c r="N172" s="128"/>
    </row>
    <row r="173" spans="1:14" ht="12.75" customHeight="1" x14ac:dyDescent="0.25">
      <c r="A173" s="1395" t="s">
        <v>992</v>
      </c>
      <c r="B173" s="1395"/>
      <c r="C173" s="1395"/>
      <c r="D173" s="1395"/>
      <c r="E173" s="1395"/>
      <c r="F173" s="1395"/>
      <c r="G173" s="1395"/>
      <c r="H173" s="1395"/>
      <c r="I173" s="1395"/>
      <c r="J173" s="1395"/>
      <c r="K173" s="1395"/>
      <c r="L173" s="1395"/>
      <c r="M173" s="1395"/>
      <c r="N173" s="128"/>
    </row>
    <row r="174" spans="1:14" ht="12.75" customHeight="1" x14ac:dyDescent="0.25">
      <c r="A174" s="1395" t="s">
        <v>998</v>
      </c>
      <c r="B174" s="1395"/>
      <c r="C174" s="1395"/>
      <c r="D174" s="1395"/>
      <c r="E174" s="1395"/>
      <c r="F174" s="1395"/>
      <c r="G174" s="1395"/>
      <c r="H174" s="1395"/>
      <c r="I174" s="1395"/>
      <c r="J174" s="1395"/>
      <c r="K174" s="832"/>
      <c r="L174" s="832"/>
      <c r="M174" s="832"/>
      <c r="N174" s="128"/>
    </row>
    <row r="175" spans="1:14" ht="12.75" customHeight="1" x14ac:dyDescent="0.25">
      <c r="A175" s="1395" t="s">
        <v>999</v>
      </c>
      <c r="B175" s="1395"/>
      <c r="C175" s="1395"/>
      <c r="D175" s="1395"/>
      <c r="E175" s="1395"/>
      <c r="F175" s="1395"/>
      <c r="G175" s="1395"/>
      <c r="H175" s="1395"/>
      <c r="I175" s="1395"/>
      <c r="J175" s="1395"/>
      <c r="K175" s="832"/>
      <c r="L175" s="832"/>
      <c r="M175" s="832"/>
      <c r="N175" s="128"/>
    </row>
    <row r="176" spans="1:14" ht="12.75" customHeight="1" x14ac:dyDescent="0.25">
      <c r="A176" s="1395" t="s">
        <v>1022</v>
      </c>
      <c r="B176" s="1395"/>
      <c r="C176" s="1395"/>
      <c r="D176" s="1395"/>
      <c r="E176" s="1395"/>
      <c r="F176" s="1395"/>
      <c r="G176" s="1395"/>
      <c r="H176" s="1395"/>
      <c r="I176" s="1395"/>
      <c r="J176" s="1395"/>
      <c r="K176" s="1395"/>
      <c r="L176" s="1395"/>
      <c r="M176" s="1395"/>
      <c r="N176" s="128"/>
    </row>
    <row r="177" spans="1:14" ht="12.75" customHeight="1" x14ac:dyDescent="0.25">
      <c r="A177" s="159" t="s">
        <v>1023</v>
      </c>
      <c r="B177" s="160"/>
      <c r="C177" s="94"/>
      <c r="D177" s="94"/>
      <c r="E177" s="94"/>
      <c r="F177" s="94"/>
      <c r="G177" s="94"/>
      <c r="H177" s="94"/>
      <c r="I177" s="94"/>
      <c r="J177" s="94"/>
      <c r="K177" s="94"/>
      <c r="L177" s="94"/>
      <c r="M177" s="94"/>
      <c r="N177" s="128"/>
    </row>
    <row r="178" spans="1:14" ht="12.75" customHeight="1" x14ac:dyDescent="0.25">
      <c r="A178" s="1395" t="s">
        <v>1024</v>
      </c>
      <c r="B178" s="1395"/>
      <c r="C178" s="1395"/>
      <c r="D178" s="1395"/>
      <c r="E178" s="1395"/>
      <c r="F178" s="1395"/>
      <c r="G178" s="1395"/>
      <c r="H178" s="1395"/>
      <c r="I178" s="1395"/>
      <c r="J178" s="1395"/>
      <c r="K178" s="1395"/>
      <c r="L178" s="1395"/>
      <c r="M178" s="1395"/>
      <c r="N178" s="128"/>
    </row>
    <row r="179" spans="1:14" ht="12.75" customHeight="1" x14ac:dyDescent="0.25">
      <c r="A179" s="159" t="s">
        <v>1025</v>
      </c>
      <c r="B179" s="160"/>
      <c r="C179" s="94"/>
      <c r="D179" s="94"/>
      <c r="E179" s="94"/>
      <c r="F179" s="94"/>
      <c r="G179" s="94"/>
      <c r="H179" s="94"/>
      <c r="I179" s="94"/>
      <c r="J179" s="94"/>
      <c r="K179" s="94"/>
      <c r="L179" s="94"/>
      <c r="M179" s="94"/>
      <c r="N179" s="128"/>
    </row>
    <row r="180" spans="1:14" ht="12.75" customHeight="1" x14ac:dyDescent="0.25">
      <c r="A180" s="1395" t="s">
        <v>1026</v>
      </c>
      <c r="B180" s="1395"/>
      <c r="C180" s="1395"/>
      <c r="D180" s="1395"/>
      <c r="E180" s="1395"/>
      <c r="F180" s="1395"/>
      <c r="G180" s="1395"/>
      <c r="H180" s="1395"/>
      <c r="I180" s="1395"/>
      <c r="J180" s="1395"/>
      <c r="K180" s="1395"/>
      <c r="L180" s="1395"/>
      <c r="M180" s="1395"/>
      <c r="N180" s="128"/>
    </row>
    <row r="181" spans="1:14" ht="11.25" customHeight="1" x14ac:dyDescent="0.25">
      <c r="A181" s="345"/>
      <c r="B181" s="793"/>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675</v>
      </c>
      <c r="B183" s="160"/>
      <c r="C183" s="795">
        <f>(C169+SB18a!C169+SB18b!C169)-'B5-Capex'!C65</f>
        <v>0</v>
      </c>
      <c r="D183" s="795"/>
      <c r="E183" s="795"/>
      <c r="F183" s="795"/>
      <c r="G183" s="795"/>
      <c r="H183" s="795"/>
      <c r="I183" s="795"/>
      <c r="J183" s="795"/>
      <c r="K183" s="795"/>
      <c r="L183" s="795">
        <f>(L169+SB18a!L169+SB18b!L169)-'B5-Capex'!L65</f>
        <v>0</v>
      </c>
      <c r="M183" s="795">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209"/>
  <sheetViews>
    <sheetView showGridLines="0" zoomScaleNormal="100" workbookViewId="0">
      <pane xSplit="2" ySplit="4" topLeftCell="C50" activePane="bottomRight" state="frozen"/>
      <selection activeCell="C6" sqref="C6"/>
      <selection pane="topRight" activeCell="C6" sqref="C6"/>
      <selection pane="bottomLeft" activeCell="C6" sqref="C6"/>
      <selection pane="bottomRight" activeCell="D61" sqref="D61"/>
    </sheetView>
  </sheetViews>
  <sheetFormatPr defaultRowHeight="12.75" x14ac:dyDescent="0.25"/>
  <cols>
    <col min="1" max="1" width="26.42578125" style="5" customWidth="1"/>
    <col min="2" max="2" width="23.4257812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LIM333 Greater Tzaneen - Supporting Table SB19 List of capital programmes and projects affected by Adjustments Budget - 27/02/2019</v>
      </c>
      <c r="B1" s="599"/>
      <c r="C1" s="599"/>
      <c r="D1" s="600"/>
      <c r="E1" s="600"/>
      <c r="F1" s="600"/>
      <c r="G1" s="599"/>
      <c r="H1" s="599"/>
      <c r="I1" s="599"/>
      <c r="J1" s="599"/>
      <c r="K1" s="599"/>
      <c r="L1" s="599"/>
      <c r="M1" s="599"/>
      <c r="N1" s="599"/>
      <c r="O1" s="599"/>
      <c r="P1" s="599"/>
      <c r="Q1" s="599"/>
      <c r="R1" s="599"/>
    </row>
    <row r="2" spans="1:18" ht="38.25" customHeight="1" x14ac:dyDescent="0.25">
      <c r="A2" s="1302" t="s">
        <v>1779</v>
      </c>
      <c r="B2" s="326" t="s">
        <v>1780</v>
      </c>
      <c r="C2" s="326" t="s">
        <v>1781</v>
      </c>
      <c r="D2" s="326" t="s">
        <v>1782</v>
      </c>
      <c r="E2" s="326" t="s">
        <v>1783</v>
      </c>
      <c r="F2" s="326" t="s">
        <v>1759</v>
      </c>
      <c r="G2" s="326" t="s">
        <v>1784</v>
      </c>
      <c r="H2" s="999" t="s">
        <v>1384</v>
      </c>
      <c r="I2" s="1021" t="s">
        <v>1400</v>
      </c>
      <c r="J2" s="1021" t="s">
        <v>1785</v>
      </c>
      <c r="K2" s="326" t="s">
        <v>1786</v>
      </c>
      <c r="L2" s="1023" t="s">
        <v>1787</v>
      </c>
      <c r="M2" s="1390" t="str">
        <f>Head3a</f>
        <v>Medium Term Revenue and Expenditure Framework</v>
      </c>
      <c r="N2" s="1391"/>
      <c r="O2" s="1391"/>
      <c r="P2" s="1391"/>
      <c r="Q2" s="1391"/>
      <c r="R2" s="1442"/>
    </row>
    <row r="3" spans="1:18" x14ac:dyDescent="0.25">
      <c r="A3" s="1300"/>
      <c r="B3" s="999"/>
      <c r="C3" s="999"/>
      <c r="D3" s="1020"/>
      <c r="G3" s="999"/>
      <c r="H3" s="1020"/>
      <c r="I3" s="1022"/>
      <c r="J3" s="1305"/>
      <c r="K3" s="1332"/>
      <c r="L3" s="1301"/>
      <c r="M3" s="1443" t="str">
        <f>Head9</f>
        <v>Budget Year 2018/19</v>
      </c>
      <c r="N3" s="1444"/>
      <c r="O3" s="1443" t="str">
        <f>Head10</f>
        <v>Budget Year +1 2019/20</v>
      </c>
      <c r="P3" s="1444"/>
      <c r="Q3" s="1443" t="str">
        <f>Head11</f>
        <v>Budget Year +2 2020/21</v>
      </c>
      <c r="R3" s="1444"/>
    </row>
    <row r="4" spans="1:18" ht="25.5" x14ac:dyDescent="0.25">
      <c r="A4" s="66" t="s">
        <v>605</v>
      </c>
      <c r="B4" s="1000"/>
      <c r="C4" s="1000"/>
      <c r="D4" s="1000"/>
      <c r="E4" s="1000"/>
      <c r="F4" s="1000"/>
      <c r="G4" s="1000"/>
      <c r="H4" s="1000"/>
      <c r="I4" s="1030"/>
      <c r="J4" s="1030"/>
      <c r="K4" s="1000"/>
      <c r="L4" s="1024"/>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515</v>
      </c>
      <c r="B5" s="605"/>
      <c r="C5" s="606"/>
      <c r="D5" s="606"/>
      <c r="E5" s="606"/>
      <c r="F5" s="606"/>
      <c r="G5" s="606"/>
      <c r="H5" s="607"/>
      <c r="I5" s="1018"/>
      <c r="J5" s="1306"/>
      <c r="K5" s="607"/>
      <c r="L5" s="1025"/>
      <c r="M5" s="608"/>
      <c r="N5" s="609"/>
      <c r="O5" s="608"/>
      <c r="P5" s="610"/>
      <c r="Q5" s="611"/>
      <c r="R5" s="610"/>
    </row>
    <row r="6" spans="1:18" ht="11.25" customHeight="1" x14ac:dyDescent="0.25">
      <c r="A6" s="1311" t="s">
        <v>1788</v>
      </c>
      <c r="B6" s="1314"/>
      <c r="C6" s="1315"/>
      <c r="D6" s="1315"/>
      <c r="E6" s="1315"/>
      <c r="F6" s="1315"/>
      <c r="G6" s="1315"/>
      <c r="H6" s="1316"/>
      <c r="I6" s="1317"/>
      <c r="J6" s="1319"/>
      <c r="K6" s="1316"/>
      <c r="L6" s="1318"/>
      <c r="M6" s="1320"/>
      <c r="N6" s="1321"/>
      <c r="O6" s="1320"/>
      <c r="P6" s="1322"/>
      <c r="Q6" s="1323"/>
      <c r="R6" s="1322"/>
    </row>
    <row r="7" spans="1:18" ht="11.25" customHeight="1" x14ac:dyDescent="0.25">
      <c r="A7" s="612" t="s">
        <v>2141</v>
      </c>
      <c r="B7" s="613" t="s">
        <v>2142</v>
      </c>
      <c r="C7" s="614" t="s">
        <v>2143</v>
      </c>
      <c r="D7" s="1312" t="s">
        <v>2144</v>
      </c>
      <c r="E7" s="1313" t="s">
        <v>1776</v>
      </c>
      <c r="F7" s="1313" t="s">
        <v>1763</v>
      </c>
      <c r="G7" s="614"/>
      <c r="H7" s="1037" t="s">
        <v>1591</v>
      </c>
      <c r="I7" s="1038" t="s">
        <v>1008</v>
      </c>
      <c r="J7" s="1307" t="s">
        <v>2145</v>
      </c>
      <c r="K7" s="1037"/>
      <c r="L7" s="1026"/>
      <c r="M7" s="615">
        <v>6500000</v>
      </c>
      <c r="N7" s="616">
        <v>4613000</v>
      </c>
      <c r="O7" s="615">
        <v>6987000</v>
      </c>
      <c r="P7" s="617"/>
      <c r="Q7" s="618">
        <v>0</v>
      </c>
      <c r="R7" s="617"/>
    </row>
    <row r="8" spans="1:18" ht="11.25" customHeight="1" x14ac:dyDescent="0.25">
      <c r="A8" s="612" t="s">
        <v>2141</v>
      </c>
      <c r="B8" s="613" t="s">
        <v>2146</v>
      </c>
      <c r="C8" s="614" t="s">
        <v>2147</v>
      </c>
      <c r="D8" s="1312" t="s">
        <v>2144</v>
      </c>
      <c r="E8" s="1313" t="s">
        <v>1776</v>
      </c>
      <c r="F8" s="1313" t="s">
        <v>1763</v>
      </c>
      <c r="G8" s="614"/>
      <c r="H8" s="1037" t="s">
        <v>1591</v>
      </c>
      <c r="I8" s="1038" t="s">
        <v>1008</v>
      </c>
      <c r="J8" s="1307" t="s">
        <v>2148</v>
      </c>
      <c r="K8" s="1037"/>
      <c r="L8" s="1026"/>
      <c r="M8" s="615">
        <v>4445038</v>
      </c>
      <c r="N8" s="616">
        <v>4000000</v>
      </c>
      <c r="O8" s="615">
        <v>9679999.9900000002</v>
      </c>
      <c r="P8" s="617"/>
      <c r="Q8" s="618">
        <v>20000000</v>
      </c>
      <c r="R8" s="617"/>
    </row>
    <row r="9" spans="1:18" ht="11.25" customHeight="1" x14ac:dyDescent="0.25">
      <c r="A9" s="612" t="s">
        <v>2141</v>
      </c>
      <c r="B9" s="613" t="s">
        <v>2149</v>
      </c>
      <c r="C9" s="614" t="s">
        <v>2150</v>
      </c>
      <c r="D9" s="1312" t="s">
        <v>2144</v>
      </c>
      <c r="E9" s="1313" t="s">
        <v>1776</v>
      </c>
      <c r="F9" s="1313" t="s">
        <v>1763</v>
      </c>
      <c r="G9" s="614"/>
      <c r="H9" s="1037" t="s">
        <v>1591</v>
      </c>
      <c r="I9" s="1038" t="s">
        <v>1008</v>
      </c>
      <c r="J9" s="1307" t="s">
        <v>2151</v>
      </c>
      <c r="K9" s="1037"/>
      <c r="L9" s="1026"/>
      <c r="M9" s="615">
        <v>0</v>
      </c>
      <c r="N9" s="616">
        <v>0</v>
      </c>
      <c r="O9" s="615">
        <v>0</v>
      </c>
      <c r="P9" s="617"/>
      <c r="Q9" s="618">
        <v>0</v>
      </c>
      <c r="R9" s="617"/>
    </row>
    <row r="10" spans="1:18" ht="11.25" customHeight="1" x14ac:dyDescent="0.25">
      <c r="A10" s="612" t="s">
        <v>2141</v>
      </c>
      <c r="B10" s="613" t="s">
        <v>2152</v>
      </c>
      <c r="C10" s="614" t="s">
        <v>2153</v>
      </c>
      <c r="D10" s="1312" t="s">
        <v>2144</v>
      </c>
      <c r="E10" s="1313" t="s">
        <v>1776</v>
      </c>
      <c r="F10" s="1313" t="s">
        <v>1763</v>
      </c>
      <c r="G10" s="614"/>
      <c r="H10" s="1037" t="s">
        <v>1591</v>
      </c>
      <c r="I10" s="1038" t="s">
        <v>1008</v>
      </c>
      <c r="J10" s="1307" t="s">
        <v>2154</v>
      </c>
      <c r="K10" s="1037"/>
      <c r="L10" s="1026"/>
      <c r="M10" s="615">
        <v>32689259</v>
      </c>
      <c r="N10" s="616">
        <v>38003590.810000002</v>
      </c>
      <c r="O10" s="615">
        <v>0</v>
      </c>
      <c r="P10" s="617"/>
      <c r="Q10" s="618">
        <v>0</v>
      </c>
      <c r="R10" s="617"/>
    </row>
    <row r="11" spans="1:18" ht="11.25" customHeight="1" x14ac:dyDescent="0.25">
      <c r="A11" s="612" t="s">
        <v>2141</v>
      </c>
      <c r="B11" s="613" t="s">
        <v>2155</v>
      </c>
      <c r="C11" s="614" t="s">
        <v>2156</v>
      </c>
      <c r="D11" s="1312" t="s">
        <v>2144</v>
      </c>
      <c r="E11" s="1313" t="s">
        <v>1776</v>
      </c>
      <c r="F11" s="1313" t="s">
        <v>1763</v>
      </c>
      <c r="G11" s="614"/>
      <c r="H11" s="1037" t="s">
        <v>1591</v>
      </c>
      <c r="I11" s="1038" t="s">
        <v>1008</v>
      </c>
      <c r="J11" s="1307" t="s">
        <v>2154</v>
      </c>
      <c r="K11" s="1037"/>
      <c r="L11" s="1026"/>
      <c r="M11" s="615">
        <v>9212232</v>
      </c>
      <c r="N11" s="616">
        <v>2613000</v>
      </c>
      <c r="O11" s="615">
        <v>3000000</v>
      </c>
      <c r="P11" s="617"/>
      <c r="Q11" s="618">
        <v>0</v>
      </c>
      <c r="R11" s="617"/>
    </row>
    <row r="12" spans="1:18" ht="11.25" customHeight="1" x14ac:dyDescent="0.25">
      <c r="A12" s="612" t="s">
        <v>2141</v>
      </c>
      <c r="B12" s="613" t="s">
        <v>2157</v>
      </c>
      <c r="C12" s="614" t="s">
        <v>2158</v>
      </c>
      <c r="D12" s="1312" t="s">
        <v>2144</v>
      </c>
      <c r="E12" s="1313" t="s">
        <v>1776</v>
      </c>
      <c r="F12" s="1313" t="s">
        <v>1763</v>
      </c>
      <c r="G12" s="614"/>
      <c r="H12" s="1037" t="s">
        <v>1591</v>
      </c>
      <c r="I12" s="1038" t="s">
        <v>1008</v>
      </c>
      <c r="J12" s="1307" t="s">
        <v>2159</v>
      </c>
      <c r="K12" s="1037"/>
      <c r="L12" s="1026"/>
      <c r="M12" s="615">
        <v>3253000</v>
      </c>
      <c r="N12" s="616">
        <v>8332414</v>
      </c>
      <c r="O12" s="615">
        <v>9679999.9900000002</v>
      </c>
      <c r="P12" s="617"/>
      <c r="Q12" s="618">
        <v>10000000</v>
      </c>
      <c r="R12" s="617"/>
    </row>
    <row r="13" spans="1:18" ht="11.25" customHeight="1" x14ac:dyDescent="0.25">
      <c r="A13" s="612" t="s">
        <v>2141</v>
      </c>
      <c r="B13" s="613" t="s">
        <v>2160</v>
      </c>
      <c r="C13" s="614" t="s">
        <v>2161</v>
      </c>
      <c r="D13" s="1312" t="s">
        <v>2144</v>
      </c>
      <c r="E13" s="1313" t="s">
        <v>1776</v>
      </c>
      <c r="F13" s="1313" t="s">
        <v>1763</v>
      </c>
      <c r="G13" s="614"/>
      <c r="H13" s="1037" t="s">
        <v>1591</v>
      </c>
      <c r="I13" s="1038" t="s">
        <v>1008</v>
      </c>
      <c r="J13" s="1307" t="s">
        <v>2162</v>
      </c>
      <c r="K13" s="1037"/>
      <c r="L13" s="1026"/>
      <c r="M13" s="615">
        <v>2000000</v>
      </c>
      <c r="N13" s="616">
        <v>0</v>
      </c>
      <c r="O13" s="615">
        <v>0</v>
      </c>
      <c r="P13" s="617"/>
      <c r="Q13" s="618">
        <v>0</v>
      </c>
      <c r="R13" s="617"/>
    </row>
    <row r="14" spans="1:18" ht="11.25" customHeight="1" x14ac:dyDescent="0.25">
      <c r="A14" s="612" t="s">
        <v>2141</v>
      </c>
      <c r="B14" s="613" t="s">
        <v>2163</v>
      </c>
      <c r="C14" s="614" t="s">
        <v>2164</v>
      </c>
      <c r="D14" s="1312" t="s">
        <v>2144</v>
      </c>
      <c r="E14" s="1313" t="s">
        <v>1776</v>
      </c>
      <c r="F14" s="1313" t="s">
        <v>1763</v>
      </c>
      <c r="G14" s="614"/>
      <c r="H14" s="1037" t="s">
        <v>1591</v>
      </c>
      <c r="I14" s="1038" t="s">
        <v>1008</v>
      </c>
      <c r="J14" s="1307" t="s">
        <v>2165</v>
      </c>
      <c r="K14" s="1037"/>
      <c r="L14" s="1026"/>
      <c r="M14" s="615">
        <v>0</v>
      </c>
      <c r="N14" s="616">
        <v>0</v>
      </c>
      <c r="O14" s="615">
        <v>0</v>
      </c>
      <c r="P14" s="617"/>
      <c r="Q14" s="618">
        <v>0</v>
      </c>
      <c r="R14" s="617"/>
    </row>
    <row r="15" spans="1:18" ht="11.25" customHeight="1" x14ac:dyDescent="0.25">
      <c r="A15" s="612" t="s">
        <v>2141</v>
      </c>
      <c r="B15" s="613" t="s">
        <v>2166</v>
      </c>
      <c r="C15" s="614" t="s">
        <v>2167</v>
      </c>
      <c r="D15" s="1312" t="s">
        <v>2144</v>
      </c>
      <c r="E15" s="1313" t="s">
        <v>1776</v>
      </c>
      <c r="F15" s="1313" t="s">
        <v>1763</v>
      </c>
      <c r="G15" s="614"/>
      <c r="H15" s="1037" t="s">
        <v>1591</v>
      </c>
      <c r="I15" s="1038" t="s">
        <v>1008</v>
      </c>
      <c r="J15" s="1307" t="s">
        <v>2168</v>
      </c>
      <c r="K15" s="1037"/>
      <c r="L15" s="1026"/>
      <c r="M15" s="615">
        <v>2000000</v>
      </c>
      <c r="N15" s="616">
        <v>0</v>
      </c>
      <c r="O15" s="615">
        <v>0</v>
      </c>
      <c r="P15" s="617"/>
      <c r="Q15" s="618">
        <v>0</v>
      </c>
      <c r="R15" s="617"/>
    </row>
    <row r="16" spans="1:18" ht="11.25" customHeight="1" x14ac:dyDescent="0.25">
      <c r="A16" s="612" t="s">
        <v>2141</v>
      </c>
      <c r="B16" s="613" t="s">
        <v>2169</v>
      </c>
      <c r="C16" s="614" t="s">
        <v>2170</v>
      </c>
      <c r="D16" s="1312" t="s">
        <v>2171</v>
      </c>
      <c r="E16" s="1313" t="s">
        <v>1776</v>
      </c>
      <c r="F16" s="1313" t="s">
        <v>1763</v>
      </c>
      <c r="G16" s="614"/>
      <c r="H16" s="1037" t="s">
        <v>1591</v>
      </c>
      <c r="I16" s="1038" t="s">
        <v>1008</v>
      </c>
      <c r="J16" s="1307" t="s">
        <v>2172</v>
      </c>
      <c r="K16" s="1037"/>
      <c r="L16" s="1026"/>
      <c r="M16" s="615">
        <v>8768065</v>
      </c>
      <c r="N16" s="616">
        <v>5000000</v>
      </c>
      <c r="O16" s="615">
        <v>3768065.01</v>
      </c>
      <c r="P16" s="617"/>
      <c r="Q16" s="618">
        <v>0</v>
      </c>
      <c r="R16" s="617"/>
    </row>
    <row r="17" spans="1:18" ht="11.25" customHeight="1" x14ac:dyDescent="0.25">
      <c r="A17" s="612" t="s">
        <v>2141</v>
      </c>
      <c r="B17" s="613" t="s">
        <v>2173</v>
      </c>
      <c r="C17" s="614" t="s">
        <v>2174</v>
      </c>
      <c r="D17" s="1312" t="s">
        <v>2171</v>
      </c>
      <c r="E17" s="1313" t="s">
        <v>1776</v>
      </c>
      <c r="F17" s="1313" t="s">
        <v>1763</v>
      </c>
      <c r="G17" s="614"/>
      <c r="H17" s="1037" t="s">
        <v>1591</v>
      </c>
      <c r="I17" s="1038" t="s">
        <v>1008</v>
      </c>
      <c r="J17" s="1307" t="s">
        <v>2175</v>
      </c>
      <c r="K17" s="1037"/>
      <c r="L17" s="1026"/>
      <c r="M17" s="615">
        <v>3253000</v>
      </c>
      <c r="N17" s="616">
        <v>11291540.189999999</v>
      </c>
      <c r="O17" s="615">
        <v>19554712.309999999</v>
      </c>
      <c r="P17" s="617"/>
      <c r="Q17" s="618">
        <v>0</v>
      </c>
      <c r="R17" s="617"/>
    </row>
    <row r="18" spans="1:18" ht="11.25" customHeight="1" x14ac:dyDescent="0.25">
      <c r="A18" s="612" t="s">
        <v>2141</v>
      </c>
      <c r="B18" s="613" t="s">
        <v>2176</v>
      </c>
      <c r="C18" s="614" t="s">
        <v>2177</v>
      </c>
      <c r="D18" s="1312" t="s">
        <v>2171</v>
      </c>
      <c r="E18" s="1313" t="s">
        <v>1776</v>
      </c>
      <c r="F18" s="1313" t="s">
        <v>1763</v>
      </c>
      <c r="G18" s="614"/>
      <c r="H18" s="1037" t="s">
        <v>1591</v>
      </c>
      <c r="I18" s="1038" t="s">
        <v>1008</v>
      </c>
      <c r="J18" s="1307" t="s">
        <v>2162</v>
      </c>
      <c r="K18" s="1037"/>
      <c r="L18" s="1026"/>
      <c r="M18" s="615">
        <v>2000000</v>
      </c>
      <c r="N18" s="616">
        <v>0</v>
      </c>
      <c r="O18" s="615">
        <v>0</v>
      </c>
      <c r="P18" s="617"/>
      <c r="Q18" s="618">
        <v>0</v>
      </c>
      <c r="R18" s="617"/>
    </row>
    <row r="19" spans="1:18" ht="11.25" customHeight="1" x14ac:dyDescent="0.25">
      <c r="A19" s="612" t="s">
        <v>2141</v>
      </c>
      <c r="B19" s="613" t="s">
        <v>2178</v>
      </c>
      <c r="C19" s="614" t="s">
        <v>2179</v>
      </c>
      <c r="D19" s="1312" t="s">
        <v>2171</v>
      </c>
      <c r="E19" s="1313" t="s">
        <v>1776</v>
      </c>
      <c r="F19" s="1313" t="s">
        <v>1763</v>
      </c>
      <c r="G19" s="614"/>
      <c r="H19" s="1037" t="s">
        <v>1591</v>
      </c>
      <c r="I19" s="1038" t="s">
        <v>1008</v>
      </c>
      <c r="J19" s="1307" t="s">
        <v>2180</v>
      </c>
      <c r="K19" s="1037"/>
      <c r="L19" s="1026"/>
      <c r="M19" s="615">
        <v>2000000</v>
      </c>
      <c r="N19" s="616">
        <v>3887000</v>
      </c>
      <c r="O19" s="615">
        <v>9679999.9900000002</v>
      </c>
      <c r="P19" s="617"/>
      <c r="Q19" s="618">
        <v>20000000</v>
      </c>
      <c r="R19" s="617"/>
    </row>
    <row r="20" spans="1:18" ht="11.25" customHeight="1" x14ac:dyDescent="0.25">
      <c r="A20" s="612" t="s">
        <v>2141</v>
      </c>
      <c r="B20" s="613" t="s">
        <v>2181</v>
      </c>
      <c r="C20" s="614" t="s">
        <v>2182</v>
      </c>
      <c r="D20" s="1312" t="s">
        <v>2144</v>
      </c>
      <c r="E20" s="1313" t="s">
        <v>1776</v>
      </c>
      <c r="F20" s="1313" t="s">
        <v>1763</v>
      </c>
      <c r="G20" s="614"/>
      <c r="H20" s="1037" t="s">
        <v>1591</v>
      </c>
      <c r="I20" s="1038" t="s">
        <v>1008</v>
      </c>
      <c r="J20" s="1307" t="s">
        <v>2165</v>
      </c>
      <c r="K20" s="1037"/>
      <c r="L20" s="1026"/>
      <c r="M20" s="615">
        <v>2000000</v>
      </c>
      <c r="N20" s="616">
        <v>5180049</v>
      </c>
      <c r="O20" s="615">
        <v>15680172.07</v>
      </c>
      <c r="P20" s="617"/>
      <c r="Q20" s="618">
        <v>27111469.32</v>
      </c>
      <c r="R20" s="617"/>
    </row>
    <row r="21" spans="1:18" ht="11.25" customHeight="1" x14ac:dyDescent="0.25">
      <c r="A21" s="612" t="s">
        <v>2141</v>
      </c>
      <c r="B21" s="613" t="s">
        <v>2183</v>
      </c>
      <c r="C21" s="614" t="s">
        <v>2184</v>
      </c>
      <c r="D21" s="1312" t="s">
        <v>2144</v>
      </c>
      <c r="E21" s="1313" t="s">
        <v>1776</v>
      </c>
      <c r="F21" s="1313" t="s">
        <v>1763</v>
      </c>
      <c r="G21" s="614"/>
      <c r="H21" s="1037" t="s">
        <v>1591</v>
      </c>
      <c r="I21" s="1038" t="s">
        <v>1592</v>
      </c>
      <c r="J21" s="1307" t="s">
        <v>2185</v>
      </c>
      <c r="K21" s="1037"/>
      <c r="L21" s="1026"/>
      <c r="M21" s="615">
        <v>3100234</v>
      </c>
      <c r="N21" s="616">
        <v>1100234</v>
      </c>
      <c r="O21" s="615">
        <v>2000000</v>
      </c>
      <c r="P21" s="617"/>
      <c r="Q21" s="618">
        <v>0</v>
      </c>
      <c r="R21" s="617"/>
    </row>
    <row r="22" spans="1:18" ht="11.25" customHeight="1" x14ac:dyDescent="0.25">
      <c r="A22" s="612" t="s">
        <v>2141</v>
      </c>
      <c r="B22" s="613" t="s">
        <v>2186</v>
      </c>
      <c r="C22" s="614" t="s">
        <v>2299</v>
      </c>
      <c r="D22" s="1312" t="s">
        <v>2144</v>
      </c>
      <c r="E22" s="1313" t="s">
        <v>1776</v>
      </c>
      <c r="F22" s="1313" t="s">
        <v>1763</v>
      </c>
      <c r="G22" s="614"/>
      <c r="H22" s="1037" t="s">
        <v>1591</v>
      </c>
      <c r="I22" s="1038" t="s">
        <v>1592</v>
      </c>
      <c r="J22" s="1307" t="s">
        <v>2185</v>
      </c>
      <c r="K22" s="1037"/>
      <c r="L22" s="1026"/>
      <c r="M22" s="615">
        <v>0</v>
      </c>
      <c r="N22" s="616">
        <v>0</v>
      </c>
      <c r="O22" s="615">
        <v>0</v>
      </c>
      <c r="P22" s="617"/>
      <c r="Q22" s="618">
        <v>5000000</v>
      </c>
      <c r="R22" s="617"/>
    </row>
    <row r="23" spans="1:18" ht="11.25" customHeight="1" x14ac:dyDescent="0.25">
      <c r="A23" s="612" t="s">
        <v>2141</v>
      </c>
      <c r="B23" s="613" t="s">
        <v>2187</v>
      </c>
      <c r="C23" s="614" t="s">
        <v>2188</v>
      </c>
      <c r="D23" s="1312" t="s">
        <v>2144</v>
      </c>
      <c r="E23" s="1313" t="s">
        <v>1776</v>
      </c>
      <c r="F23" s="1313" t="s">
        <v>1763</v>
      </c>
      <c r="G23" s="614"/>
      <c r="H23" s="1037" t="s">
        <v>1644</v>
      </c>
      <c r="I23" s="1038" t="s">
        <v>1661</v>
      </c>
      <c r="J23" s="1307" t="s">
        <v>2175</v>
      </c>
      <c r="K23" s="1037"/>
      <c r="L23" s="1026"/>
      <c r="M23" s="615">
        <v>6478422</v>
      </c>
      <c r="N23" s="616">
        <v>3678422</v>
      </c>
      <c r="O23" s="615">
        <v>9519900.6400000006</v>
      </c>
      <c r="P23" s="617"/>
      <c r="Q23" s="618">
        <v>6478422</v>
      </c>
      <c r="R23" s="617"/>
    </row>
    <row r="24" spans="1:18" ht="11.25" customHeight="1" x14ac:dyDescent="0.25">
      <c r="A24" s="612" t="s">
        <v>2189</v>
      </c>
      <c r="B24" s="613" t="s">
        <v>2190</v>
      </c>
      <c r="C24" s="614" t="s">
        <v>2191</v>
      </c>
      <c r="D24" s="1312" t="s">
        <v>2144</v>
      </c>
      <c r="E24" s="1313" t="s">
        <v>1776</v>
      </c>
      <c r="F24" s="1313" t="s">
        <v>1765</v>
      </c>
      <c r="G24" s="614"/>
      <c r="H24" s="1037" t="s">
        <v>1599</v>
      </c>
      <c r="I24" s="1038" t="s">
        <v>1607</v>
      </c>
      <c r="J24" s="1307" t="s">
        <v>2192</v>
      </c>
      <c r="K24" s="1037"/>
      <c r="L24" s="1026"/>
      <c r="M24" s="615">
        <v>532000</v>
      </c>
      <c r="N24" s="616">
        <v>0</v>
      </c>
      <c r="O24" s="615">
        <v>0</v>
      </c>
      <c r="P24" s="617"/>
      <c r="Q24" s="618">
        <v>0</v>
      </c>
      <c r="R24" s="617"/>
    </row>
    <row r="25" spans="1:18" ht="11.25" customHeight="1" x14ac:dyDescent="0.25">
      <c r="A25" s="612" t="s">
        <v>2189</v>
      </c>
      <c r="B25" s="613" t="s">
        <v>2193</v>
      </c>
      <c r="C25" s="614" t="s">
        <v>2194</v>
      </c>
      <c r="D25" s="1312" t="s">
        <v>2144</v>
      </c>
      <c r="E25" s="1313" t="s">
        <v>1776</v>
      </c>
      <c r="F25" s="1313" t="s">
        <v>1765</v>
      </c>
      <c r="G25" s="614"/>
      <c r="H25" s="1037" t="s">
        <v>1599</v>
      </c>
      <c r="I25" s="1038" t="s">
        <v>1607</v>
      </c>
      <c r="J25" s="1307" t="s">
        <v>2192</v>
      </c>
      <c r="K25" s="1037"/>
      <c r="L25" s="1026"/>
      <c r="M25" s="615">
        <v>1600000</v>
      </c>
      <c r="N25" s="616">
        <v>0</v>
      </c>
      <c r="O25" s="615">
        <v>0</v>
      </c>
      <c r="P25" s="617"/>
      <c r="Q25" s="618">
        <v>0</v>
      </c>
      <c r="R25" s="617"/>
    </row>
    <row r="26" spans="1:18" ht="11.25" customHeight="1" x14ac:dyDescent="0.25">
      <c r="A26" s="612" t="s">
        <v>2189</v>
      </c>
      <c r="B26" s="613" t="s">
        <v>2195</v>
      </c>
      <c r="C26" s="614" t="s">
        <v>2196</v>
      </c>
      <c r="D26" s="1312" t="s">
        <v>2144</v>
      </c>
      <c r="E26" s="1313" t="s">
        <v>1776</v>
      </c>
      <c r="F26" s="1313" t="s">
        <v>1765</v>
      </c>
      <c r="G26" s="614"/>
      <c r="H26" s="1037" t="s">
        <v>1599</v>
      </c>
      <c r="I26" s="1038" t="s">
        <v>1607</v>
      </c>
      <c r="J26" s="1307" t="s">
        <v>2197</v>
      </c>
      <c r="K26" s="1037"/>
      <c r="L26" s="1026"/>
      <c r="M26" s="615">
        <v>300000</v>
      </c>
      <c r="N26" s="616">
        <v>0</v>
      </c>
      <c r="O26" s="615">
        <v>300000</v>
      </c>
      <c r="P26" s="617"/>
      <c r="Q26" s="618">
        <v>0</v>
      </c>
      <c r="R26" s="617"/>
    </row>
    <row r="27" spans="1:18" ht="11.25" customHeight="1" x14ac:dyDescent="0.25">
      <c r="A27" s="612" t="s">
        <v>2189</v>
      </c>
      <c r="B27" s="613" t="s">
        <v>2198</v>
      </c>
      <c r="C27" s="614" t="s">
        <v>2199</v>
      </c>
      <c r="D27" s="1312" t="s">
        <v>2200</v>
      </c>
      <c r="E27" s="1313" t="s">
        <v>1776</v>
      </c>
      <c r="F27" s="1313" t="s">
        <v>1765</v>
      </c>
      <c r="G27" s="614"/>
      <c r="H27" s="1037" t="s">
        <v>1599</v>
      </c>
      <c r="I27" s="1038" t="s">
        <v>1607</v>
      </c>
      <c r="J27" s="1307" t="s">
        <v>2192</v>
      </c>
      <c r="K27" s="1037"/>
      <c r="L27" s="1026"/>
      <c r="M27" s="615">
        <v>300000</v>
      </c>
      <c r="N27" s="616">
        <v>0</v>
      </c>
      <c r="O27" s="615">
        <v>0</v>
      </c>
      <c r="P27" s="617"/>
      <c r="Q27" s="618">
        <v>0</v>
      </c>
      <c r="R27" s="617"/>
    </row>
    <row r="28" spans="1:18" ht="11.25" customHeight="1" x14ac:dyDescent="0.25">
      <c r="A28" s="612" t="s">
        <v>2189</v>
      </c>
      <c r="B28" s="613" t="s">
        <v>2201</v>
      </c>
      <c r="C28" s="614" t="s">
        <v>2383</v>
      </c>
      <c r="D28" s="1312" t="s">
        <v>2144</v>
      </c>
      <c r="E28" s="1313" t="s">
        <v>1776</v>
      </c>
      <c r="F28" s="1313" t="s">
        <v>1765</v>
      </c>
      <c r="G28" s="614"/>
      <c r="H28" s="1037" t="s">
        <v>1599</v>
      </c>
      <c r="I28" s="1038" t="s">
        <v>1604</v>
      </c>
      <c r="J28" s="1307" t="s">
        <v>2192</v>
      </c>
      <c r="K28" s="1037"/>
      <c r="L28" s="1026"/>
      <c r="M28" s="615">
        <v>800000</v>
      </c>
      <c r="N28" s="616">
        <v>0</v>
      </c>
      <c r="O28" s="615">
        <v>0</v>
      </c>
      <c r="P28" s="617"/>
      <c r="Q28" s="618">
        <v>0</v>
      </c>
      <c r="R28" s="617"/>
    </row>
    <row r="29" spans="1:18" ht="11.25" customHeight="1" x14ac:dyDescent="0.25">
      <c r="A29" s="612" t="s">
        <v>2189</v>
      </c>
      <c r="B29" s="613" t="s">
        <v>2203</v>
      </c>
      <c r="C29" s="614" t="s">
        <v>2199</v>
      </c>
      <c r="D29" s="1312" t="s">
        <v>2144</v>
      </c>
      <c r="E29" s="1313" t="s">
        <v>1776</v>
      </c>
      <c r="F29" s="1313" t="s">
        <v>1765</v>
      </c>
      <c r="G29" s="614"/>
      <c r="H29" s="1037" t="s">
        <v>1599</v>
      </c>
      <c r="I29" s="1038" t="s">
        <v>1606</v>
      </c>
      <c r="J29" s="1307" t="s">
        <v>2205</v>
      </c>
      <c r="K29" s="1037"/>
      <c r="L29" s="1026"/>
      <c r="M29" s="615">
        <v>750000</v>
      </c>
      <c r="N29" s="616">
        <v>0</v>
      </c>
      <c r="O29" s="615">
        <v>0</v>
      </c>
      <c r="P29" s="617"/>
      <c r="Q29" s="618">
        <v>0</v>
      </c>
      <c r="R29" s="617"/>
    </row>
    <row r="30" spans="1:18" ht="11.25" customHeight="1" x14ac:dyDescent="0.25">
      <c r="A30" s="612" t="s">
        <v>2189</v>
      </c>
      <c r="B30" s="613" t="s">
        <v>2206</v>
      </c>
      <c r="C30" s="614" t="s">
        <v>2202</v>
      </c>
      <c r="D30" s="1312" t="s">
        <v>2144</v>
      </c>
      <c r="E30" s="1313" t="s">
        <v>1776</v>
      </c>
      <c r="F30" s="1313" t="s">
        <v>1765</v>
      </c>
      <c r="G30" s="614"/>
      <c r="H30" s="1037" t="s">
        <v>1599</v>
      </c>
      <c r="I30" s="1038" t="s">
        <v>1594</v>
      </c>
      <c r="J30" s="1307" t="s">
        <v>2205</v>
      </c>
      <c r="K30" s="1037"/>
      <c r="L30" s="1026"/>
      <c r="M30" s="615">
        <v>100000</v>
      </c>
      <c r="N30" s="616">
        <v>0</v>
      </c>
      <c r="O30" s="615">
        <v>0</v>
      </c>
      <c r="P30" s="617"/>
      <c r="Q30" s="618">
        <v>0</v>
      </c>
      <c r="R30" s="617"/>
    </row>
    <row r="31" spans="1:18" ht="11.25" customHeight="1" x14ac:dyDescent="0.25">
      <c r="A31" s="612" t="s">
        <v>2189</v>
      </c>
      <c r="B31" s="613" t="s">
        <v>2208</v>
      </c>
      <c r="C31" s="614" t="s">
        <v>2209</v>
      </c>
      <c r="D31" s="1312" t="s">
        <v>2144</v>
      </c>
      <c r="E31" s="1313" t="s">
        <v>1776</v>
      </c>
      <c r="F31" s="1313" t="s">
        <v>1765</v>
      </c>
      <c r="G31" s="614"/>
      <c r="H31" s="1037" t="s">
        <v>1599</v>
      </c>
      <c r="I31" s="1038" t="s">
        <v>1616</v>
      </c>
      <c r="J31" s="1307" t="s">
        <v>2205</v>
      </c>
      <c r="K31" s="1037"/>
      <c r="L31" s="1026"/>
      <c r="M31" s="615">
        <v>150000</v>
      </c>
      <c r="N31" s="616">
        <v>0</v>
      </c>
      <c r="O31" s="615">
        <v>0</v>
      </c>
      <c r="P31" s="617"/>
      <c r="Q31" s="618">
        <v>0</v>
      </c>
      <c r="R31" s="617"/>
    </row>
    <row r="32" spans="1:18" ht="11.25" customHeight="1" x14ac:dyDescent="0.25">
      <c r="A32" s="612" t="s">
        <v>2189</v>
      </c>
      <c r="B32" s="613" t="s">
        <v>2210</v>
      </c>
      <c r="C32" s="614" t="s">
        <v>2211</v>
      </c>
      <c r="D32" s="1312" t="s">
        <v>2144</v>
      </c>
      <c r="E32" s="1313" t="s">
        <v>1776</v>
      </c>
      <c r="F32" s="1313" t="s">
        <v>1765</v>
      </c>
      <c r="G32" s="614"/>
      <c r="H32" s="1037" t="s">
        <v>1599</v>
      </c>
      <c r="I32" s="1038" t="s">
        <v>1616</v>
      </c>
      <c r="J32" s="1307" t="s">
        <v>2205</v>
      </c>
      <c r="K32" s="1037"/>
      <c r="L32" s="1026"/>
      <c r="M32" s="615">
        <v>200000</v>
      </c>
      <c r="N32" s="616">
        <v>0</v>
      </c>
      <c r="O32" s="615">
        <v>0</v>
      </c>
      <c r="P32" s="617"/>
      <c r="Q32" s="618">
        <v>0</v>
      </c>
      <c r="R32" s="617"/>
    </row>
    <row r="33" spans="1:18" ht="11.25" customHeight="1" x14ac:dyDescent="0.25">
      <c r="A33" s="612" t="s">
        <v>2189</v>
      </c>
      <c r="B33" s="613" t="s">
        <v>2212</v>
      </c>
      <c r="C33" s="614" t="s">
        <v>2213</v>
      </c>
      <c r="D33" s="1312" t="s">
        <v>2144</v>
      </c>
      <c r="E33" s="1313" t="s">
        <v>1776</v>
      </c>
      <c r="F33" s="1313" t="s">
        <v>1765</v>
      </c>
      <c r="G33" s="614"/>
      <c r="H33" s="1037" t="s">
        <v>1599</v>
      </c>
      <c r="I33" s="1038" t="s">
        <v>1607</v>
      </c>
      <c r="J33" s="1307" t="s">
        <v>2205</v>
      </c>
      <c r="K33" s="1037"/>
      <c r="L33" s="1026"/>
      <c r="M33" s="615">
        <v>150000</v>
      </c>
      <c r="N33" s="616">
        <v>0</v>
      </c>
      <c r="O33" s="615">
        <v>0</v>
      </c>
      <c r="P33" s="617"/>
      <c r="Q33" s="618">
        <v>0</v>
      </c>
      <c r="R33" s="617"/>
    </row>
    <row r="34" spans="1:18" ht="11.25" customHeight="1" x14ac:dyDescent="0.25">
      <c r="A34" s="612" t="s">
        <v>2189</v>
      </c>
      <c r="B34" s="613" t="s">
        <v>2214</v>
      </c>
      <c r="C34" s="614" t="s">
        <v>2211</v>
      </c>
      <c r="D34" s="1312" t="s">
        <v>2144</v>
      </c>
      <c r="E34" s="1313" t="s">
        <v>1776</v>
      </c>
      <c r="F34" s="1313" t="s">
        <v>1765</v>
      </c>
      <c r="G34" s="614"/>
      <c r="H34" s="1037" t="s">
        <v>1599</v>
      </c>
      <c r="I34" s="1038" t="s">
        <v>1606</v>
      </c>
      <c r="J34" s="1307" t="s">
        <v>2151</v>
      </c>
      <c r="K34" s="1037"/>
      <c r="L34" s="1026"/>
      <c r="M34" s="615">
        <v>1200000</v>
      </c>
      <c r="N34" s="616">
        <v>0</v>
      </c>
      <c r="O34" s="615">
        <v>0</v>
      </c>
      <c r="P34" s="617"/>
      <c r="Q34" s="618">
        <v>0</v>
      </c>
      <c r="R34" s="617"/>
    </row>
    <row r="35" spans="1:18" ht="11.25" customHeight="1" x14ac:dyDescent="0.25">
      <c r="A35" s="612" t="s">
        <v>2189</v>
      </c>
      <c r="B35" s="613" t="s">
        <v>2216</v>
      </c>
      <c r="C35" s="614" t="s">
        <v>2217</v>
      </c>
      <c r="D35" s="1312" t="s">
        <v>2144</v>
      </c>
      <c r="E35" s="1313" t="s">
        <v>1776</v>
      </c>
      <c r="F35" s="1313" t="s">
        <v>1765</v>
      </c>
      <c r="G35" s="614"/>
      <c r="H35" s="1037" t="s">
        <v>1599</v>
      </c>
      <c r="I35" s="1038" t="s">
        <v>1606</v>
      </c>
      <c r="J35" s="1307" t="s">
        <v>2218</v>
      </c>
      <c r="K35" s="1037"/>
      <c r="L35" s="1026"/>
      <c r="M35" s="615">
        <v>1500000</v>
      </c>
      <c r="N35" s="616">
        <v>0</v>
      </c>
      <c r="O35" s="615">
        <v>0</v>
      </c>
      <c r="P35" s="617"/>
      <c r="Q35" s="618">
        <v>0</v>
      </c>
      <c r="R35" s="617"/>
    </row>
    <row r="36" spans="1:18" ht="11.25" customHeight="1" x14ac:dyDescent="0.25">
      <c r="A36" s="612" t="s">
        <v>2189</v>
      </c>
      <c r="B36" s="613" t="s">
        <v>2219</v>
      </c>
      <c r="C36" s="614" t="s">
        <v>2220</v>
      </c>
      <c r="D36" s="1312" t="s">
        <v>2144</v>
      </c>
      <c r="E36" s="1313" t="s">
        <v>1776</v>
      </c>
      <c r="F36" s="1313" t="s">
        <v>1765</v>
      </c>
      <c r="G36" s="614"/>
      <c r="H36" s="1037" t="s">
        <v>1599</v>
      </c>
      <c r="I36" s="1038" t="s">
        <v>1606</v>
      </c>
      <c r="J36" s="1307" t="s">
        <v>2218</v>
      </c>
      <c r="K36" s="1037"/>
      <c r="L36" s="1026"/>
      <c r="M36" s="615">
        <v>600000</v>
      </c>
      <c r="N36" s="616">
        <v>0</v>
      </c>
      <c r="O36" s="615">
        <v>0</v>
      </c>
      <c r="P36" s="617"/>
      <c r="Q36" s="618">
        <v>0</v>
      </c>
      <c r="R36" s="617"/>
    </row>
    <row r="37" spans="1:18" ht="11.25" customHeight="1" x14ac:dyDescent="0.25">
      <c r="A37" s="612" t="s">
        <v>2189</v>
      </c>
      <c r="B37" s="613" t="s">
        <v>2221</v>
      </c>
      <c r="C37" s="614" t="s">
        <v>2222</v>
      </c>
      <c r="D37" s="1312" t="s">
        <v>2144</v>
      </c>
      <c r="E37" s="1313" t="s">
        <v>1776</v>
      </c>
      <c r="F37" s="1313" t="s">
        <v>1765</v>
      </c>
      <c r="G37" s="614"/>
      <c r="H37" s="1037" t="s">
        <v>1599</v>
      </c>
      <c r="I37" s="1038" t="s">
        <v>1606</v>
      </c>
      <c r="J37" s="1307" t="s">
        <v>2151</v>
      </c>
      <c r="K37" s="1037"/>
      <c r="L37" s="1026"/>
      <c r="M37" s="615">
        <v>400000</v>
      </c>
      <c r="N37" s="616">
        <v>0</v>
      </c>
      <c r="O37" s="615">
        <v>0</v>
      </c>
      <c r="P37" s="617"/>
      <c r="Q37" s="618">
        <v>0</v>
      </c>
      <c r="R37" s="617"/>
    </row>
    <row r="38" spans="1:18" ht="11.25" customHeight="1" x14ac:dyDescent="0.25">
      <c r="A38" s="612" t="s">
        <v>2189</v>
      </c>
      <c r="B38" s="613" t="s">
        <v>2223</v>
      </c>
      <c r="C38" s="614" t="s">
        <v>2224</v>
      </c>
      <c r="D38" s="1312" t="s">
        <v>2144</v>
      </c>
      <c r="E38" s="1313" t="s">
        <v>1776</v>
      </c>
      <c r="F38" s="1313" t="s">
        <v>1765</v>
      </c>
      <c r="G38" s="614"/>
      <c r="H38" s="1037" t="s">
        <v>1599</v>
      </c>
      <c r="I38" s="1038" t="s">
        <v>1606</v>
      </c>
      <c r="J38" s="1307" t="s">
        <v>2162</v>
      </c>
      <c r="K38" s="1037"/>
      <c r="L38" s="1026"/>
      <c r="M38" s="615">
        <v>584000</v>
      </c>
      <c r="N38" s="616">
        <v>0</v>
      </c>
      <c r="O38" s="615">
        <v>0</v>
      </c>
      <c r="P38" s="617"/>
      <c r="Q38" s="618">
        <v>0</v>
      </c>
      <c r="R38" s="617"/>
    </row>
    <row r="39" spans="1:18" ht="11.25" customHeight="1" x14ac:dyDescent="0.25">
      <c r="A39" s="612" t="s">
        <v>2189</v>
      </c>
      <c r="B39" s="613" t="s">
        <v>2225</v>
      </c>
      <c r="C39" s="614" t="s">
        <v>2226</v>
      </c>
      <c r="D39" s="1312" t="s">
        <v>2144</v>
      </c>
      <c r="E39" s="1313" t="s">
        <v>1776</v>
      </c>
      <c r="F39" s="1313" t="s">
        <v>1765</v>
      </c>
      <c r="G39" s="614"/>
      <c r="H39" s="1037" t="s">
        <v>1599</v>
      </c>
      <c r="I39" s="1038" t="s">
        <v>1606</v>
      </c>
      <c r="J39" s="1307" t="s">
        <v>2162</v>
      </c>
      <c r="K39" s="1037"/>
      <c r="L39" s="1026"/>
      <c r="M39" s="615">
        <v>584000</v>
      </c>
      <c r="N39" s="616">
        <v>0</v>
      </c>
      <c r="O39" s="615">
        <v>0</v>
      </c>
      <c r="P39" s="617"/>
      <c r="Q39" s="618">
        <v>0</v>
      </c>
      <c r="R39" s="617"/>
    </row>
    <row r="40" spans="1:18" ht="11.25" customHeight="1" x14ac:dyDescent="0.25">
      <c r="A40" s="612" t="s">
        <v>2189</v>
      </c>
      <c r="B40" s="613" t="s">
        <v>2227</v>
      </c>
      <c r="C40" s="614" t="s">
        <v>2228</v>
      </c>
      <c r="D40" s="1312" t="s">
        <v>2144</v>
      </c>
      <c r="E40" s="1313" t="s">
        <v>1776</v>
      </c>
      <c r="F40" s="1313" t="s">
        <v>1765</v>
      </c>
      <c r="G40" s="614"/>
      <c r="H40" s="1037" t="s">
        <v>1599</v>
      </c>
      <c r="I40" s="1038" t="s">
        <v>1606</v>
      </c>
      <c r="J40" s="1307" t="s">
        <v>2162</v>
      </c>
      <c r="K40" s="1037"/>
      <c r="L40" s="1026"/>
      <c r="M40" s="615">
        <v>500000</v>
      </c>
      <c r="N40" s="616">
        <v>0</v>
      </c>
      <c r="O40" s="615">
        <v>0</v>
      </c>
      <c r="P40" s="617"/>
      <c r="Q40" s="618">
        <v>0</v>
      </c>
      <c r="R40" s="617"/>
    </row>
    <row r="41" spans="1:18" ht="11.25" customHeight="1" x14ac:dyDescent="0.25">
      <c r="A41" s="612" t="s">
        <v>2189</v>
      </c>
      <c r="B41" s="613" t="s">
        <v>2229</v>
      </c>
      <c r="C41" s="614" t="s">
        <v>2230</v>
      </c>
      <c r="D41" s="1312" t="s">
        <v>2144</v>
      </c>
      <c r="E41" s="1313" t="s">
        <v>1776</v>
      </c>
      <c r="F41" s="1313" t="s">
        <v>1765</v>
      </c>
      <c r="G41" s="614"/>
      <c r="H41" s="1037" t="s">
        <v>1599</v>
      </c>
      <c r="I41" s="1038" t="s">
        <v>1606</v>
      </c>
      <c r="J41" s="1307" t="s">
        <v>2151</v>
      </c>
      <c r="K41" s="1037"/>
      <c r="L41" s="1026"/>
      <c r="M41" s="615">
        <v>500000</v>
      </c>
      <c r="N41" s="616">
        <v>0</v>
      </c>
      <c r="O41" s="615">
        <v>0</v>
      </c>
      <c r="P41" s="617"/>
      <c r="Q41" s="618">
        <v>0</v>
      </c>
      <c r="R41" s="617"/>
    </row>
    <row r="42" spans="1:18" ht="11.25" customHeight="1" x14ac:dyDescent="0.25">
      <c r="A42" s="612" t="s">
        <v>2189</v>
      </c>
      <c r="B42" s="613" t="s">
        <v>2231</v>
      </c>
      <c r="C42" s="614" t="s">
        <v>2232</v>
      </c>
      <c r="D42" s="1312" t="s">
        <v>2144</v>
      </c>
      <c r="E42" s="1313" t="s">
        <v>1776</v>
      </c>
      <c r="F42" s="1313" t="s">
        <v>1765</v>
      </c>
      <c r="G42" s="614"/>
      <c r="H42" s="1037" t="s">
        <v>1599</v>
      </c>
      <c r="I42" s="1038" t="s">
        <v>1606</v>
      </c>
      <c r="J42" s="1307" t="s">
        <v>2192</v>
      </c>
      <c r="K42" s="1037"/>
      <c r="L42" s="1026"/>
      <c r="M42" s="615">
        <v>500000</v>
      </c>
      <c r="N42" s="616">
        <v>0</v>
      </c>
      <c r="O42" s="615">
        <v>0</v>
      </c>
      <c r="P42" s="617"/>
      <c r="Q42" s="618">
        <v>0</v>
      </c>
      <c r="R42" s="617"/>
    </row>
    <row r="43" spans="1:18" ht="11.25" customHeight="1" x14ac:dyDescent="0.25">
      <c r="A43" s="612" t="s">
        <v>2189</v>
      </c>
      <c r="B43" s="613" t="s">
        <v>2233</v>
      </c>
      <c r="C43" s="614" t="s">
        <v>2234</v>
      </c>
      <c r="D43" s="1312" t="s">
        <v>2144</v>
      </c>
      <c r="E43" s="1313" t="s">
        <v>1776</v>
      </c>
      <c r="F43" s="1313" t="s">
        <v>1765</v>
      </c>
      <c r="G43" s="614"/>
      <c r="H43" s="1037" t="s">
        <v>1599</v>
      </c>
      <c r="I43" s="1038" t="s">
        <v>1606</v>
      </c>
      <c r="J43" s="1307" t="s">
        <v>2151</v>
      </c>
      <c r="K43" s="1037"/>
      <c r="L43" s="1026"/>
      <c r="M43" s="615">
        <v>1000000</v>
      </c>
      <c r="N43" s="616">
        <v>0</v>
      </c>
      <c r="O43" s="615">
        <v>0</v>
      </c>
      <c r="P43" s="617"/>
      <c r="Q43" s="618">
        <v>0</v>
      </c>
      <c r="R43" s="617"/>
    </row>
    <row r="44" spans="1:18" ht="11.25" customHeight="1" x14ac:dyDescent="0.25">
      <c r="A44" s="612" t="s">
        <v>2189</v>
      </c>
      <c r="B44" s="613" t="s">
        <v>2235</v>
      </c>
      <c r="C44" s="614" t="s">
        <v>2236</v>
      </c>
      <c r="D44" s="1312" t="s">
        <v>2144</v>
      </c>
      <c r="E44" s="1313" t="s">
        <v>1776</v>
      </c>
      <c r="F44" s="1313" t="s">
        <v>1765</v>
      </c>
      <c r="G44" s="614"/>
      <c r="H44" s="1037" t="s">
        <v>1599</v>
      </c>
      <c r="I44" s="1038" t="s">
        <v>1606</v>
      </c>
      <c r="J44" s="1307" t="s">
        <v>2218</v>
      </c>
      <c r="K44" s="1037"/>
      <c r="L44" s="1026"/>
      <c r="M44" s="615">
        <v>1000000</v>
      </c>
      <c r="N44" s="616">
        <v>0</v>
      </c>
      <c r="O44" s="615">
        <v>0</v>
      </c>
      <c r="P44" s="617"/>
      <c r="Q44" s="618">
        <v>0</v>
      </c>
      <c r="R44" s="617"/>
    </row>
    <row r="45" spans="1:18" ht="11.25" customHeight="1" x14ac:dyDescent="0.25">
      <c r="A45" s="612" t="s">
        <v>2189</v>
      </c>
      <c r="B45" s="613" t="s">
        <v>2237</v>
      </c>
      <c r="C45" s="614" t="s">
        <v>2238</v>
      </c>
      <c r="D45" s="1312" t="s">
        <v>2144</v>
      </c>
      <c r="E45" s="1313" t="s">
        <v>1776</v>
      </c>
      <c r="F45" s="1313" t="s">
        <v>1765</v>
      </c>
      <c r="G45" s="614"/>
      <c r="H45" s="1037" t="s">
        <v>1599</v>
      </c>
      <c r="I45" s="1038" t="s">
        <v>1606</v>
      </c>
      <c r="J45" s="1307" t="s">
        <v>2151</v>
      </c>
      <c r="K45" s="1037"/>
      <c r="L45" s="1026"/>
      <c r="M45" s="615">
        <v>1000000</v>
      </c>
      <c r="N45" s="616">
        <v>0</v>
      </c>
      <c r="O45" s="615">
        <v>0</v>
      </c>
      <c r="P45" s="617"/>
      <c r="Q45" s="618">
        <v>0</v>
      </c>
      <c r="R45" s="617"/>
    </row>
    <row r="46" spans="1:18" ht="11.25" customHeight="1" x14ac:dyDescent="0.25">
      <c r="A46" s="612" t="s">
        <v>2189</v>
      </c>
      <c r="B46" s="613" t="s">
        <v>2239</v>
      </c>
      <c r="C46" s="614" t="s">
        <v>2240</v>
      </c>
      <c r="D46" s="1312" t="s">
        <v>2144</v>
      </c>
      <c r="E46" s="1313" t="s">
        <v>1776</v>
      </c>
      <c r="F46" s="1313" t="s">
        <v>1765</v>
      </c>
      <c r="G46" s="614"/>
      <c r="H46" s="1037" t="s">
        <v>1599</v>
      </c>
      <c r="I46" s="1038" t="s">
        <v>1606</v>
      </c>
      <c r="J46" s="1307" t="s">
        <v>2241</v>
      </c>
      <c r="K46" s="1037"/>
      <c r="L46" s="1026"/>
      <c r="M46" s="615">
        <v>1000000</v>
      </c>
      <c r="N46" s="616">
        <v>0</v>
      </c>
      <c r="O46" s="615">
        <v>0</v>
      </c>
      <c r="P46" s="617"/>
      <c r="Q46" s="618">
        <v>0</v>
      </c>
      <c r="R46" s="617"/>
    </row>
    <row r="47" spans="1:18" ht="11.25" customHeight="1" x14ac:dyDescent="0.25">
      <c r="A47" s="612" t="s">
        <v>2189</v>
      </c>
      <c r="B47" s="613" t="s">
        <v>2242</v>
      </c>
      <c r="C47" s="614" t="s">
        <v>2243</v>
      </c>
      <c r="D47" s="1312" t="s">
        <v>2144</v>
      </c>
      <c r="E47" s="1313" t="s">
        <v>1776</v>
      </c>
      <c r="F47" s="1313" t="s">
        <v>1765</v>
      </c>
      <c r="G47" s="614"/>
      <c r="H47" s="1037" t="s">
        <v>1599</v>
      </c>
      <c r="I47" s="1038" t="s">
        <v>1606</v>
      </c>
      <c r="J47" s="1307" t="s">
        <v>2241</v>
      </c>
      <c r="K47" s="1037"/>
      <c r="L47" s="1026"/>
      <c r="M47" s="615">
        <v>1000000</v>
      </c>
      <c r="N47" s="616">
        <v>0</v>
      </c>
      <c r="O47" s="615">
        <v>0</v>
      </c>
      <c r="P47" s="617"/>
      <c r="Q47" s="618">
        <v>0</v>
      </c>
      <c r="R47" s="617"/>
    </row>
    <row r="48" spans="1:18" ht="11.25" customHeight="1" x14ac:dyDescent="0.25">
      <c r="A48" s="612" t="s">
        <v>2189</v>
      </c>
      <c r="B48" s="613" t="s">
        <v>2244</v>
      </c>
      <c r="C48" s="614" t="s">
        <v>2245</v>
      </c>
      <c r="D48" s="1312" t="s">
        <v>2144</v>
      </c>
      <c r="E48" s="1313" t="s">
        <v>1776</v>
      </c>
      <c r="F48" s="1313" t="s">
        <v>1765</v>
      </c>
      <c r="G48" s="614"/>
      <c r="H48" s="1037" t="s">
        <v>1599</v>
      </c>
      <c r="I48" s="1038" t="s">
        <v>1606</v>
      </c>
      <c r="J48" s="1307" t="s">
        <v>2246</v>
      </c>
      <c r="K48" s="1037"/>
      <c r="L48" s="1026"/>
      <c r="M48" s="615">
        <v>500000</v>
      </c>
      <c r="N48" s="616">
        <v>0</v>
      </c>
      <c r="O48" s="615">
        <v>0</v>
      </c>
      <c r="P48" s="617"/>
      <c r="Q48" s="618">
        <v>0</v>
      </c>
      <c r="R48" s="617"/>
    </row>
    <row r="49" spans="1:18" ht="11.25" customHeight="1" x14ac:dyDescent="0.25">
      <c r="A49" s="612" t="s">
        <v>2189</v>
      </c>
      <c r="B49" s="613" t="s">
        <v>2247</v>
      </c>
      <c r="C49" s="614" t="s">
        <v>2384</v>
      </c>
      <c r="D49" s="1312" t="s">
        <v>2144</v>
      </c>
      <c r="E49" s="1313" t="s">
        <v>1776</v>
      </c>
      <c r="F49" s="1313" t="s">
        <v>1765</v>
      </c>
      <c r="G49" s="614"/>
      <c r="H49" s="1037" t="s">
        <v>1599</v>
      </c>
      <c r="I49" s="1038" t="s">
        <v>1606</v>
      </c>
      <c r="J49" s="1307" t="s">
        <v>2249</v>
      </c>
      <c r="K49" s="1037"/>
      <c r="L49" s="1026"/>
      <c r="M49" s="615">
        <v>750000</v>
      </c>
      <c r="N49" s="616">
        <v>0</v>
      </c>
      <c r="O49" s="615">
        <v>0</v>
      </c>
      <c r="P49" s="617"/>
      <c r="Q49" s="618">
        <v>0</v>
      </c>
      <c r="R49" s="617"/>
    </row>
    <row r="50" spans="1:18" ht="11.25" customHeight="1" x14ac:dyDescent="0.25">
      <c r="A50" s="612" t="s">
        <v>2189</v>
      </c>
      <c r="B50" s="613" t="s">
        <v>2250</v>
      </c>
      <c r="C50" s="614" t="s">
        <v>2251</v>
      </c>
      <c r="D50" s="1312" t="s">
        <v>2144</v>
      </c>
      <c r="E50" s="1313" t="s">
        <v>1776</v>
      </c>
      <c r="F50" s="1313" t="s">
        <v>1765</v>
      </c>
      <c r="G50" s="614"/>
      <c r="H50" s="1037" t="s">
        <v>1599</v>
      </c>
      <c r="I50" s="1038" t="s">
        <v>1594</v>
      </c>
      <c r="J50" s="1307" t="s">
        <v>2162</v>
      </c>
      <c r="K50" s="1037"/>
      <c r="L50" s="1026"/>
      <c r="M50" s="615">
        <v>500000</v>
      </c>
      <c r="N50" s="616">
        <v>0</v>
      </c>
      <c r="O50" s="615">
        <v>0</v>
      </c>
      <c r="P50" s="617"/>
      <c r="Q50" s="618">
        <v>0</v>
      </c>
      <c r="R50" s="617"/>
    </row>
    <row r="51" spans="1:18" ht="11.25" customHeight="1" x14ac:dyDescent="0.25">
      <c r="A51" s="612" t="s">
        <v>2189</v>
      </c>
      <c r="B51" s="613" t="s">
        <v>2252</v>
      </c>
      <c r="C51" s="614" t="s">
        <v>2253</v>
      </c>
      <c r="D51" s="1312" t="s">
        <v>2144</v>
      </c>
      <c r="E51" s="1313" t="s">
        <v>1776</v>
      </c>
      <c r="F51" s="1313" t="s">
        <v>1765</v>
      </c>
      <c r="G51" s="614"/>
      <c r="H51" s="1037" t="s">
        <v>1599</v>
      </c>
      <c r="I51" s="1038" t="s">
        <v>1606</v>
      </c>
      <c r="J51" s="1307" t="s">
        <v>2192</v>
      </c>
      <c r="K51" s="1037"/>
      <c r="L51" s="1026"/>
      <c r="M51" s="615">
        <v>5000000</v>
      </c>
      <c r="N51" s="616">
        <v>0</v>
      </c>
      <c r="O51" s="615">
        <v>0</v>
      </c>
      <c r="P51" s="617"/>
      <c r="Q51" s="618">
        <v>0</v>
      </c>
      <c r="R51" s="617"/>
    </row>
    <row r="52" spans="1:18" ht="11.25" customHeight="1" x14ac:dyDescent="0.25">
      <c r="A52" s="612" t="s">
        <v>2189</v>
      </c>
      <c r="B52" s="613" t="s">
        <v>2254</v>
      </c>
      <c r="C52" s="614" t="s">
        <v>2255</v>
      </c>
      <c r="D52" s="1312" t="s">
        <v>2144</v>
      </c>
      <c r="E52" s="1313" t="s">
        <v>1776</v>
      </c>
      <c r="F52" s="1313" t="s">
        <v>1765</v>
      </c>
      <c r="G52" s="614"/>
      <c r="H52" s="1037" t="s">
        <v>1599</v>
      </c>
      <c r="I52" s="1038" t="s">
        <v>1606</v>
      </c>
      <c r="J52" s="1307" t="s">
        <v>2151</v>
      </c>
      <c r="K52" s="1037"/>
      <c r="L52" s="1026"/>
      <c r="M52" s="615">
        <v>1500000</v>
      </c>
      <c r="N52" s="616">
        <v>0</v>
      </c>
      <c r="O52" s="615">
        <v>0</v>
      </c>
      <c r="P52" s="617"/>
      <c r="Q52" s="618">
        <v>0</v>
      </c>
      <c r="R52" s="617"/>
    </row>
    <row r="53" spans="1:18" ht="11.25" customHeight="1" x14ac:dyDescent="0.25">
      <c r="A53" s="612" t="s">
        <v>2189</v>
      </c>
      <c r="B53" s="613" t="s">
        <v>2256</v>
      </c>
      <c r="C53" s="614" t="s">
        <v>2253</v>
      </c>
      <c r="D53" s="1312" t="s">
        <v>2144</v>
      </c>
      <c r="E53" s="1313" t="s">
        <v>1776</v>
      </c>
      <c r="F53" s="1313" t="s">
        <v>1765</v>
      </c>
      <c r="G53" s="614"/>
      <c r="H53" s="1037" t="s">
        <v>1599</v>
      </c>
      <c r="I53" s="1038" t="s">
        <v>1606</v>
      </c>
      <c r="J53" s="1307" t="s">
        <v>2257</v>
      </c>
      <c r="K53" s="1037"/>
      <c r="L53" s="1026"/>
      <c r="M53" s="615">
        <v>4000000</v>
      </c>
      <c r="N53" s="616">
        <v>0</v>
      </c>
      <c r="O53" s="615">
        <v>0</v>
      </c>
      <c r="P53" s="617"/>
      <c r="Q53" s="618">
        <v>0</v>
      </c>
      <c r="R53" s="617"/>
    </row>
    <row r="54" spans="1:18" ht="11.25" customHeight="1" x14ac:dyDescent="0.25">
      <c r="A54" s="612" t="s">
        <v>2189</v>
      </c>
      <c r="B54" s="613" t="s">
        <v>2258</v>
      </c>
      <c r="C54" s="614" t="s">
        <v>2259</v>
      </c>
      <c r="D54" s="1312" t="s">
        <v>2144</v>
      </c>
      <c r="E54" s="1313" t="s">
        <v>1776</v>
      </c>
      <c r="F54" s="1313" t="s">
        <v>1765</v>
      </c>
      <c r="G54" s="614"/>
      <c r="H54" s="1037" t="s">
        <v>1599</v>
      </c>
      <c r="I54" s="1038" t="s">
        <v>1606</v>
      </c>
      <c r="J54" s="1307" t="s">
        <v>2260</v>
      </c>
      <c r="K54" s="1037"/>
      <c r="L54" s="1026"/>
      <c r="M54" s="615">
        <v>1000000</v>
      </c>
      <c r="N54" s="616">
        <v>0</v>
      </c>
      <c r="O54" s="615">
        <v>0</v>
      </c>
      <c r="P54" s="617"/>
      <c r="Q54" s="618">
        <v>0</v>
      </c>
      <c r="R54" s="617"/>
    </row>
    <row r="55" spans="1:18" ht="11.25" customHeight="1" x14ac:dyDescent="0.25">
      <c r="A55" s="612" t="s">
        <v>2189</v>
      </c>
      <c r="B55" s="613" t="s">
        <v>2261</v>
      </c>
      <c r="C55" s="614" t="s">
        <v>2278</v>
      </c>
      <c r="D55" s="1312" t="s">
        <v>2144</v>
      </c>
      <c r="E55" s="1313" t="s">
        <v>1776</v>
      </c>
      <c r="F55" s="1313" t="s">
        <v>1765</v>
      </c>
      <c r="G55" s="614"/>
      <c r="H55" s="1037" t="s">
        <v>1599</v>
      </c>
      <c r="I55" s="1038" t="s">
        <v>1606</v>
      </c>
      <c r="J55" s="1307" t="s">
        <v>2154</v>
      </c>
      <c r="K55" s="1037"/>
      <c r="L55" s="1026"/>
      <c r="M55" s="615">
        <v>500000</v>
      </c>
      <c r="N55" s="616">
        <v>0</v>
      </c>
      <c r="O55" s="615">
        <v>0</v>
      </c>
      <c r="P55" s="617"/>
      <c r="Q55" s="618">
        <v>0</v>
      </c>
      <c r="R55" s="617"/>
    </row>
    <row r="56" spans="1:18" ht="11.25" customHeight="1" x14ac:dyDescent="0.25">
      <c r="A56" s="612" t="s">
        <v>2189</v>
      </c>
      <c r="B56" s="613" t="s">
        <v>2262</v>
      </c>
      <c r="C56" s="614" t="s">
        <v>2263</v>
      </c>
      <c r="D56" s="1312" t="s">
        <v>2144</v>
      </c>
      <c r="E56" s="1313" t="s">
        <v>1776</v>
      </c>
      <c r="F56" s="1313" t="s">
        <v>1765</v>
      </c>
      <c r="G56" s="614"/>
      <c r="H56" s="1037" t="s">
        <v>1599</v>
      </c>
      <c r="I56" s="1038" t="s">
        <v>1607</v>
      </c>
      <c r="J56" s="1307" t="s">
        <v>2264</v>
      </c>
      <c r="K56" s="1037"/>
      <c r="L56" s="1026"/>
      <c r="M56" s="615">
        <v>0</v>
      </c>
      <c r="N56" s="616">
        <v>1100000</v>
      </c>
      <c r="O56" s="615">
        <v>0</v>
      </c>
      <c r="P56" s="617"/>
      <c r="Q56" s="618">
        <v>0</v>
      </c>
      <c r="R56" s="617"/>
    </row>
    <row r="57" spans="1:18" ht="11.25" customHeight="1" x14ac:dyDescent="0.25">
      <c r="A57" s="612" t="s">
        <v>2189</v>
      </c>
      <c r="B57" s="613" t="s">
        <v>2265</v>
      </c>
      <c r="C57" s="614" t="s">
        <v>2266</v>
      </c>
      <c r="D57" s="1312" t="s">
        <v>2144</v>
      </c>
      <c r="E57" s="1313" t="s">
        <v>1776</v>
      </c>
      <c r="F57" s="1313" t="s">
        <v>1765</v>
      </c>
      <c r="G57" s="614"/>
      <c r="H57" s="1037" t="s">
        <v>1599</v>
      </c>
      <c r="I57" s="1038" t="s">
        <v>1607</v>
      </c>
      <c r="J57" s="1307" t="s">
        <v>2162</v>
      </c>
      <c r="K57" s="1037"/>
      <c r="L57" s="1026"/>
      <c r="M57" s="615">
        <v>0</v>
      </c>
      <c r="N57" s="616">
        <v>400000</v>
      </c>
      <c r="O57" s="615">
        <v>0</v>
      </c>
      <c r="P57" s="617"/>
      <c r="Q57" s="618">
        <v>0</v>
      </c>
      <c r="R57" s="617"/>
    </row>
    <row r="58" spans="1:18" ht="11.25" customHeight="1" x14ac:dyDescent="0.25">
      <c r="A58" s="612" t="s">
        <v>2189</v>
      </c>
      <c r="B58" s="613" t="s">
        <v>2267</v>
      </c>
      <c r="C58" s="614" t="s">
        <v>2385</v>
      </c>
      <c r="D58" s="1312" t="s">
        <v>2144</v>
      </c>
      <c r="E58" s="1313" t="s">
        <v>1776</v>
      </c>
      <c r="F58" s="1313" t="s">
        <v>1765</v>
      </c>
      <c r="G58" s="614"/>
      <c r="H58" s="1037" t="s">
        <v>1599</v>
      </c>
      <c r="I58" s="1038" t="s">
        <v>1606</v>
      </c>
      <c r="J58" s="1307" t="s">
        <v>2192</v>
      </c>
      <c r="K58" s="1037"/>
      <c r="L58" s="1026"/>
      <c r="M58" s="615">
        <v>0</v>
      </c>
      <c r="N58" s="616">
        <v>6550000</v>
      </c>
      <c r="O58" s="615">
        <v>5000000</v>
      </c>
      <c r="P58" s="617"/>
      <c r="Q58" s="618">
        <v>3100000</v>
      </c>
      <c r="R58" s="617"/>
    </row>
    <row r="59" spans="1:18" ht="11.25" customHeight="1" x14ac:dyDescent="0.25">
      <c r="A59" s="612" t="s">
        <v>2189</v>
      </c>
      <c r="B59" s="613" t="s">
        <v>2268</v>
      </c>
      <c r="C59" s="614" t="s">
        <v>2386</v>
      </c>
      <c r="D59" s="1312" t="s">
        <v>2200</v>
      </c>
      <c r="E59" s="1313" t="s">
        <v>1776</v>
      </c>
      <c r="F59" s="1313" t="s">
        <v>1765</v>
      </c>
      <c r="G59" s="614"/>
      <c r="H59" s="1037" t="s">
        <v>1599</v>
      </c>
      <c r="I59" s="1038" t="s">
        <v>1607</v>
      </c>
      <c r="J59" s="1307" t="s">
        <v>2192</v>
      </c>
      <c r="K59" s="1037"/>
      <c r="L59" s="1026"/>
      <c r="M59" s="615">
        <v>0</v>
      </c>
      <c r="N59" s="616">
        <v>300000</v>
      </c>
      <c r="O59" s="615">
        <v>300000</v>
      </c>
      <c r="P59" s="617"/>
      <c r="Q59" s="618">
        <v>300000</v>
      </c>
      <c r="R59" s="617"/>
    </row>
    <row r="60" spans="1:18" ht="11.25" customHeight="1" x14ac:dyDescent="0.25">
      <c r="A60" s="612" t="s">
        <v>2189</v>
      </c>
      <c r="B60" s="613" t="s">
        <v>2269</v>
      </c>
      <c r="C60" s="614" t="s">
        <v>2199</v>
      </c>
      <c r="D60" s="1312" t="s">
        <v>2144</v>
      </c>
      <c r="E60" s="1313" t="s">
        <v>1776</v>
      </c>
      <c r="F60" s="1313" t="s">
        <v>1765</v>
      </c>
      <c r="G60" s="614"/>
      <c r="H60" s="1037" t="s">
        <v>1599</v>
      </c>
      <c r="I60" s="1038" t="s">
        <v>1606</v>
      </c>
      <c r="J60" s="1307" t="s">
        <v>2192</v>
      </c>
      <c r="K60" s="1037"/>
      <c r="L60" s="1026"/>
      <c r="M60" s="615">
        <v>0</v>
      </c>
      <c r="N60" s="616">
        <v>1200000</v>
      </c>
      <c r="O60" s="615">
        <v>0</v>
      </c>
      <c r="P60" s="617"/>
      <c r="Q60" s="618">
        <v>1000000</v>
      </c>
      <c r="R60" s="617"/>
    </row>
    <row r="61" spans="1:18" ht="11.25" customHeight="1" x14ac:dyDescent="0.25">
      <c r="A61" s="612" t="s">
        <v>2189</v>
      </c>
      <c r="B61" s="613" t="s">
        <v>2270</v>
      </c>
      <c r="C61" s="614" t="s">
        <v>2202</v>
      </c>
      <c r="D61" s="1312" t="s">
        <v>2144</v>
      </c>
      <c r="E61" s="1313" t="s">
        <v>1776</v>
      </c>
      <c r="F61" s="1313" t="s">
        <v>1765</v>
      </c>
      <c r="G61" s="614"/>
      <c r="H61" s="1037" t="s">
        <v>1599</v>
      </c>
      <c r="I61" s="1038" t="s">
        <v>1594</v>
      </c>
      <c r="J61" s="1307" t="s">
        <v>2192</v>
      </c>
      <c r="K61" s="1037"/>
      <c r="L61" s="1026"/>
      <c r="M61" s="615">
        <v>0</v>
      </c>
      <c r="N61" s="616">
        <v>400000</v>
      </c>
      <c r="O61" s="615">
        <v>100000</v>
      </c>
      <c r="P61" s="617"/>
      <c r="Q61" s="618">
        <v>450000</v>
      </c>
      <c r="R61" s="617"/>
    </row>
    <row r="62" spans="1:18" ht="11.25" customHeight="1" x14ac:dyDescent="0.25">
      <c r="A62" s="612" t="s">
        <v>2189</v>
      </c>
      <c r="B62" s="613" t="s">
        <v>2271</v>
      </c>
      <c r="C62" s="614" t="s">
        <v>2383</v>
      </c>
      <c r="D62" s="1312" t="s">
        <v>2144</v>
      </c>
      <c r="E62" s="1313" t="s">
        <v>1776</v>
      </c>
      <c r="F62" s="1313" t="s">
        <v>1765</v>
      </c>
      <c r="G62" s="614"/>
      <c r="H62" s="1037" t="s">
        <v>1599</v>
      </c>
      <c r="I62" s="1038" t="s">
        <v>1606</v>
      </c>
      <c r="J62" s="1307" t="s">
        <v>2264</v>
      </c>
      <c r="K62" s="1037"/>
      <c r="L62" s="1026"/>
      <c r="M62" s="615">
        <v>0</v>
      </c>
      <c r="N62" s="616">
        <v>1000000</v>
      </c>
      <c r="O62" s="615">
        <v>800000</v>
      </c>
      <c r="P62" s="617"/>
      <c r="Q62" s="618">
        <v>1000000</v>
      </c>
      <c r="R62" s="617"/>
    </row>
    <row r="63" spans="1:18" ht="11.25" customHeight="1" x14ac:dyDescent="0.25">
      <c r="A63" s="612" t="s">
        <v>2189</v>
      </c>
      <c r="B63" s="613" t="s">
        <v>2272</v>
      </c>
      <c r="C63" s="614" t="s">
        <v>2204</v>
      </c>
      <c r="D63" s="1312" t="s">
        <v>2144</v>
      </c>
      <c r="E63" s="1313" t="s">
        <v>1776</v>
      </c>
      <c r="F63" s="1313" t="s">
        <v>1765</v>
      </c>
      <c r="G63" s="614"/>
      <c r="H63" s="1037" t="s">
        <v>1599</v>
      </c>
      <c r="I63" s="1038" t="s">
        <v>1606</v>
      </c>
      <c r="J63" s="1307" t="s">
        <v>2205</v>
      </c>
      <c r="K63" s="1037"/>
      <c r="L63" s="1026"/>
      <c r="M63" s="615">
        <v>0</v>
      </c>
      <c r="N63" s="616">
        <v>200000</v>
      </c>
      <c r="O63" s="615">
        <v>50000</v>
      </c>
      <c r="P63" s="617"/>
      <c r="Q63" s="618">
        <v>100000</v>
      </c>
      <c r="R63" s="617"/>
    </row>
    <row r="64" spans="1:18" ht="11.25" customHeight="1" x14ac:dyDescent="0.25">
      <c r="A64" s="612" t="s">
        <v>2189</v>
      </c>
      <c r="B64" s="613" t="s">
        <v>2274</v>
      </c>
      <c r="C64" s="614" t="s">
        <v>2207</v>
      </c>
      <c r="D64" s="1312" t="s">
        <v>2144</v>
      </c>
      <c r="E64" s="1313" t="s">
        <v>1776</v>
      </c>
      <c r="F64" s="1313" t="s">
        <v>1765</v>
      </c>
      <c r="G64" s="614"/>
      <c r="H64" s="1037" t="s">
        <v>1599</v>
      </c>
      <c r="I64" s="1038" t="s">
        <v>1606</v>
      </c>
      <c r="J64" s="1307" t="s">
        <v>2205</v>
      </c>
      <c r="K64" s="1037"/>
      <c r="L64" s="1026"/>
      <c r="M64" s="615">
        <v>0</v>
      </c>
      <c r="N64" s="616">
        <v>200000</v>
      </c>
      <c r="O64" s="615">
        <v>50000</v>
      </c>
      <c r="P64" s="617"/>
      <c r="Q64" s="618">
        <v>100000</v>
      </c>
      <c r="R64" s="617"/>
    </row>
    <row r="65" spans="1:18" ht="11.25" customHeight="1" x14ac:dyDescent="0.25">
      <c r="A65" s="612" t="s">
        <v>2189</v>
      </c>
      <c r="B65" s="613" t="s">
        <v>2275</v>
      </c>
      <c r="C65" s="614" t="s">
        <v>2209</v>
      </c>
      <c r="D65" s="1312" t="s">
        <v>2144</v>
      </c>
      <c r="E65" s="1313" t="s">
        <v>1776</v>
      </c>
      <c r="F65" s="1313" t="s">
        <v>1765</v>
      </c>
      <c r="G65" s="614"/>
      <c r="H65" s="1037" t="s">
        <v>1599</v>
      </c>
      <c r="I65" s="1038" t="s">
        <v>1606</v>
      </c>
      <c r="J65" s="1307" t="s">
        <v>2205</v>
      </c>
      <c r="K65" s="1037"/>
      <c r="L65" s="1026"/>
      <c r="M65" s="615">
        <v>0</v>
      </c>
      <c r="N65" s="616">
        <v>250000</v>
      </c>
      <c r="O65" s="615">
        <v>150000</v>
      </c>
      <c r="P65" s="617"/>
      <c r="Q65" s="618">
        <v>150000</v>
      </c>
      <c r="R65" s="617"/>
    </row>
    <row r="66" spans="1:18" ht="11.25" customHeight="1" x14ac:dyDescent="0.25">
      <c r="A66" s="612" t="s">
        <v>2189</v>
      </c>
      <c r="B66" s="613" t="s">
        <v>2276</v>
      </c>
      <c r="C66" s="614" t="s">
        <v>2387</v>
      </c>
      <c r="D66" s="1312" t="s">
        <v>2144</v>
      </c>
      <c r="E66" s="1313" t="s">
        <v>1776</v>
      </c>
      <c r="F66" s="1313" t="s">
        <v>1765</v>
      </c>
      <c r="G66" s="614"/>
      <c r="H66" s="1037" t="s">
        <v>1599</v>
      </c>
      <c r="I66" s="1038" t="s">
        <v>1606</v>
      </c>
      <c r="J66" s="1307" t="s">
        <v>2151</v>
      </c>
      <c r="K66" s="1037"/>
      <c r="L66" s="1026"/>
      <c r="M66" s="615">
        <v>0</v>
      </c>
      <c r="N66" s="616">
        <v>500000</v>
      </c>
      <c r="O66" s="615">
        <v>500000</v>
      </c>
      <c r="P66" s="617"/>
      <c r="Q66" s="618">
        <v>500000</v>
      </c>
      <c r="R66" s="617"/>
    </row>
    <row r="67" spans="1:18" ht="11.25" customHeight="1" x14ac:dyDescent="0.25">
      <c r="A67" s="612" t="s">
        <v>2189</v>
      </c>
      <c r="B67" s="613" t="s">
        <v>2277</v>
      </c>
      <c r="C67" s="614" t="s">
        <v>2388</v>
      </c>
      <c r="D67" s="1312" t="s">
        <v>2144</v>
      </c>
      <c r="E67" s="1313" t="s">
        <v>1776</v>
      </c>
      <c r="F67" s="1313" t="s">
        <v>1765</v>
      </c>
      <c r="G67" s="614"/>
      <c r="H67" s="1037" t="s">
        <v>1599</v>
      </c>
      <c r="I67" s="1038" t="s">
        <v>1606</v>
      </c>
      <c r="J67" s="1307" t="s">
        <v>2154</v>
      </c>
      <c r="K67" s="1037"/>
      <c r="L67" s="1026"/>
      <c r="M67" s="615">
        <v>0</v>
      </c>
      <c r="N67" s="616">
        <v>1000000</v>
      </c>
      <c r="O67" s="615">
        <v>500000</v>
      </c>
      <c r="P67" s="617"/>
      <c r="Q67" s="618">
        <v>500000</v>
      </c>
      <c r="R67" s="617"/>
    </row>
    <row r="68" spans="1:18" ht="11.25" customHeight="1" x14ac:dyDescent="0.25">
      <c r="A68" s="612" t="s">
        <v>2189</v>
      </c>
      <c r="B68" s="613" t="s">
        <v>2279</v>
      </c>
      <c r="C68" s="614" t="s">
        <v>2389</v>
      </c>
      <c r="D68" s="1312" t="s">
        <v>2144</v>
      </c>
      <c r="E68" s="1313" t="s">
        <v>1776</v>
      </c>
      <c r="F68" s="1313" t="s">
        <v>1765</v>
      </c>
      <c r="G68" s="614"/>
      <c r="H68" s="1037" t="s">
        <v>1599</v>
      </c>
      <c r="I68" s="1038" t="s">
        <v>1606</v>
      </c>
      <c r="J68" s="1307" t="s">
        <v>2192</v>
      </c>
      <c r="K68" s="1037"/>
      <c r="L68" s="1026"/>
      <c r="M68" s="615">
        <v>0</v>
      </c>
      <c r="N68" s="616">
        <v>500000</v>
      </c>
      <c r="O68" s="615">
        <v>0</v>
      </c>
      <c r="P68" s="617"/>
      <c r="Q68" s="618">
        <v>500000</v>
      </c>
      <c r="R68" s="617"/>
    </row>
    <row r="69" spans="1:18" ht="11.25" customHeight="1" x14ac:dyDescent="0.25">
      <c r="A69" s="612" t="s">
        <v>2189</v>
      </c>
      <c r="B69" s="613" t="s">
        <v>2280</v>
      </c>
      <c r="C69" s="614" t="s">
        <v>2390</v>
      </c>
      <c r="D69" s="1312" t="s">
        <v>2144</v>
      </c>
      <c r="E69" s="1313" t="s">
        <v>1776</v>
      </c>
      <c r="F69" s="1313" t="s">
        <v>1765</v>
      </c>
      <c r="G69" s="614"/>
      <c r="H69" s="1037" t="s">
        <v>1599</v>
      </c>
      <c r="I69" s="1038" t="s">
        <v>1606</v>
      </c>
      <c r="J69" s="1307" t="s">
        <v>2151</v>
      </c>
      <c r="K69" s="1037"/>
      <c r="L69" s="1026"/>
      <c r="M69" s="615">
        <v>0</v>
      </c>
      <c r="N69" s="616">
        <v>1000000</v>
      </c>
      <c r="O69" s="615">
        <v>500000</v>
      </c>
      <c r="P69" s="617"/>
      <c r="Q69" s="618">
        <v>0</v>
      </c>
      <c r="R69" s="617"/>
    </row>
    <row r="70" spans="1:18" ht="11.25" customHeight="1" x14ac:dyDescent="0.25">
      <c r="A70" s="612" t="s">
        <v>2189</v>
      </c>
      <c r="B70" s="613" t="s">
        <v>2281</v>
      </c>
      <c r="C70" s="614" t="s">
        <v>2391</v>
      </c>
      <c r="D70" s="1312" t="s">
        <v>2144</v>
      </c>
      <c r="E70" s="1313" t="s">
        <v>1776</v>
      </c>
      <c r="F70" s="1313" t="s">
        <v>1765</v>
      </c>
      <c r="G70" s="614"/>
      <c r="H70" s="1037" t="s">
        <v>1599</v>
      </c>
      <c r="I70" s="1038" t="s">
        <v>1606</v>
      </c>
      <c r="J70" s="1307" t="s">
        <v>2218</v>
      </c>
      <c r="K70" s="1037"/>
      <c r="L70" s="1026"/>
      <c r="M70" s="615">
        <v>0</v>
      </c>
      <c r="N70" s="616">
        <v>1000000</v>
      </c>
      <c r="O70" s="615">
        <v>0</v>
      </c>
      <c r="P70" s="617"/>
      <c r="Q70" s="618">
        <v>0</v>
      </c>
      <c r="R70" s="617"/>
    </row>
    <row r="71" spans="1:18" ht="11.25" customHeight="1" x14ac:dyDescent="0.25">
      <c r="A71" s="612" t="s">
        <v>2189</v>
      </c>
      <c r="B71" s="613" t="s">
        <v>2282</v>
      </c>
      <c r="C71" s="614" t="s">
        <v>2392</v>
      </c>
      <c r="D71" s="1312" t="s">
        <v>2144</v>
      </c>
      <c r="E71" s="1313" t="s">
        <v>1776</v>
      </c>
      <c r="F71" s="1313" t="s">
        <v>1765</v>
      </c>
      <c r="G71" s="614"/>
      <c r="H71" s="1037" t="s">
        <v>1599</v>
      </c>
      <c r="I71" s="1038" t="s">
        <v>1606</v>
      </c>
      <c r="J71" s="1307" t="s">
        <v>2151</v>
      </c>
      <c r="K71" s="1037"/>
      <c r="L71" s="1026"/>
      <c r="M71" s="615">
        <v>0</v>
      </c>
      <c r="N71" s="616">
        <v>1000000</v>
      </c>
      <c r="O71" s="615">
        <v>0</v>
      </c>
      <c r="P71" s="617"/>
      <c r="Q71" s="618">
        <v>0</v>
      </c>
      <c r="R71" s="617"/>
    </row>
    <row r="72" spans="1:18" ht="11.25" customHeight="1" x14ac:dyDescent="0.25">
      <c r="A72" s="612" t="s">
        <v>2189</v>
      </c>
      <c r="B72" s="613" t="s">
        <v>2283</v>
      </c>
      <c r="C72" s="614" t="s">
        <v>2393</v>
      </c>
      <c r="D72" s="1312" t="s">
        <v>2144</v>
      </c>
      <c r="E72" s="1313" t="s">
        <v>1776</v>
      </c>
      <c r="F72" s="1313" t="s">
        <v>1765</v>
      </c>
      <c r="G72" s="614"/>
      <c r="H72" s="1037" t="s">
        <v>1599</v>
      </c>
      <c r="I72" s="1038" t="s">
        <v>1606</v>
      </c>
      <c r="J72" s="1307" t="s">
        <v>2241</v>
      </c>
      <c r="K72" s="1037"/>
      <c r="L72" s="1026"/>
      <c r="M72" s="615">
        <v>0</v>
      </c>
      <c r="N72" s="616">
        <v>1000000</v>
      </c>
      <c r="O72" s="615">
        <v>0</v>
      </c>
      <c r="P72" s="617"/>
      <c r="Q72" s="618">
        <v>0</v>
      </c>
      <c r="R72" s="617"/>
    </row>
    <row r="73" spans="1:18" ht="11.25" customHeight="1" x14ac:dyDescent="0.25">
      <c r="A73" s="612" t="s">
        <v>2189</v>
      </c>
      <c r="B73" s="613" t="s">
        <v>2284</v>
      </c>
      <c r="C73" s="614" t="s">
        <v>2394</v>
      </c>
      <c r="D73" s="1312" t="s">
        <v>2144</v>
      </c>
      <c r="E73" s="1313" t="s">
        <v>1776</v>
      </c>
      <c r="F73" s="1313" t="s">
        <v>1765</v>
      </c>
      <c r="G73" s="614"/>
      <c r="H73" s="1037" t="s">
        <v>1599</v>
      </c>
      <c r="I73" s="1038" t="s">
        <v>1606</v>
      </c>
      <c r="J73" s="1307" t="s">
        <v>2241</v>
      </c>
      <c r="K73" s="1037"/>
      <c r="L73" s="1026"/>
      <c r="M73" s="615">
        <v>0</v>
      </c>
      <c r="N73" s="616">
        <v>1000000</v>
      </c>
      <c r="O73" s="615">
        <v>0</v>
      </c>
      <c r="P73" s="617"/>
      <c r="Q73" s="618">
        <v>0</v>
      </c>
      <c r="R73" s="617"/>
    </row>
    <row r="74" spans="1:18" ht="11.25" customHeight="1" x14ac:dyDescent="0.25">
      <c r="A74" s="612" t="s">
        <v>2189</v>
      </c>
      <c r="B74" s="613" t="s">
        <v>2285</v>
      </c>
      <c r="C74" s="614" t="s">
        <v>2395</v>
      </c>
      <c r="D74" s="1312" t="s">
        <v>2144</v>
      </c>
      <c r="E74" s="1313" t="s">
        <v>1776</v>
      </c>
      <c r="F74" s="1313" t="s">
        <v>1765</v>
      </c>
      <c r="G74" s="614"/>
      <c r="H74" s="1037" t="s">
        <v>1599</v>
      </c>
      <c r="I74" s="1038" t="s">
        <v>1606</v>
      </c>
      <c r="J74" s="1307" t="s">
        <v>2246</v>
      </c>
      <c r="K74" s="1037"/>
      <c r="L74" s="1026"/>
      <c r="M74" s="615">
        <v>0</v>
      </c>
      <c r="N74" s="616">
        <v>400000</v>
      </c>
      <c r="O74" s="615">
        <v>0</v>
      </c>
      <c r="P74" s="617"/>
      <c r="Q74" s="618">
        <v>500000</v>
      </c>
      <c r="R74" s="617"/>
    </row>
    <row r="75" spans="1:18" ht="11.25" customHeight="1" x14ac:dyDescent="0.25">
      <c r="A75" s="612" t="s">
        <v>2189</v>
      </c>
      <c r="B75" s="613" t="s">
        <v>2286</v>
      </c>
      <c r="C75" s="614" t="s">
        <v>2396</v>
      </c>
      <c r="D75" s="1312" t="s">
        <v>2144</v>
      </c>
      <c r="E75" s="1313" t="s">
        <v>1776</v>
      </c>
      <c r="F75" s="1313" t="s">
        <v>1765</v>
      </c>
      <c r="G75" s="614"/>
      <c r="H75" s="1037" t="s">
        <v>1599</v>
      </c>
      <c r="I75" s="1038" t="s">
        <v>1606</v>
      </c>
      <c r="J75" s="1307" t="s">
        <v>2249</v>
      </c>
      <c r="K75" s="1037"/>
      <c r="L75" s="1026"/>
      <c r="M75" s="615">
        <v>0</v>
      </c>
      <c r="N75" s="616">
        <v>500000</v>
      </c>
      <c r="O75" s="615">
        <v>500000</v>
      </c>
      <c r="P75" s="617"/>
      <c r="Q75" s="618"/>
      <c r="R75" s="617"/>
    </row>
    <row r="76" spans="1:18" ht="11.25" customHeight="1" x14ac:dyDescent="0.25">
      <c r="A76" s="612" t="s">
        <v>2189</v>
      </c>
      <c r="B76" s="613" t="s">
        <v>2287</v>
      </c>
      <c r="C76" s="614" t="s">
        <v>2397</v>
      </c>
      <c r="D76" s="1312" t="s">
        <v>2171</v>
      </c>
      <c r="E76" s="1313" t="s">
        <v>1776</v>
      </c>
      <c r="F76" s="1313" t="s">
        <v>1765</v>
      </c>
      <c r="G76" s="614"/>
      <c r="H76" s="1037" t="s">
        <v>1599</v>
      </c>
      <c r="I76" s="1038" t="s">
        <v>1606</v>
      </c>
      <c r="J76" s="1307" t="s">
        <v>2218</v>
      </c>
      <c r="K76" s="1037"/>
      <c r="L76" s="1026"/>
      <c r="M76" s="615">
        <v>0</v>
      </c>
      <c r="N76" s="616">
        <v>2000000</v>
      </c>
      <c r="O76" s="615">
        <v>0</v>
      </c>
      <c r="P76" s="617"/>
      <c r="Q76" s="618">
        <v>0</v>
      </c>
      <c r="R76" s="617"/>
    </row>
    <row r="77" spans="1:18" ht="11.25" customHeight="1" x14ac:dyDescent="0.25">
      <c r="A77" s="612" t="s">
        <v>2189</v>
      </c>
      <c r="B77" s="613" t="s">
        <v>2288</v>
      </c>
      <c r="C77" s="614" t="s">
        <v>2398</v>
      </c>
      <c r="D77" s="1312" t="s">
        <v>2171</v>
      </c>
      <c r="E77" s="1313" t="s">
        <v>1776</v>
      </c>
      <c r="F77" s="1313" t="s">
        <v>1765</v>
      </c>
      <c r="G77" s="614"/>
      <c r="H77" s="1037" t="s">
        <v>1599</v>
      </c>
      <c r="I77" s="1038" t="s">
        <v>1606</v>
      </c>
      <c r="J77" s="1307" t="s">
        <v>2192</v>
      </c>
      <c r="K77" s="1037"/>
      <c r="L77" s="1026"/>
      <c r="M77" s="615">
        <v>0</v>
      </c>
      <c r="N77" s="616">
        <v>2000000</v>
      </c>
      <c r="O77" s="615">
        <v>0</v>
      </c>
      <c r="P77" s="617"/>
      <c r="Q77" s="618">
        <v>0</v>
      </c>
      <c r="R77" s="617"/>
    </row>
    <row r="78" spans="1:18" ht="11.25" customHeight="1" x14ac:dyDescent="0.25">
      <c r="A78" s="612" t="s">
        <v>2189</v>
      </c>
      <c r="B78" s="613" t="s">
        <v>2289</v>
      </c>
      <c r="C78" s="614" t="s">
        <v>2273</v>
      </c>
      <c r="D78" s="1312" t="s">
        <v>2144</v>
      </c>
      <c r="E78" s="1313" t="s">
        <v>1776</v>
      </c>
      <c r="F78" s="1313" t="s">
        <v>1765</v>
      </c>
      <c r="G78" s="614"/>
      <c r="H78" s="1037" t="s">
        <v>1599</v>
      </c>
      <c r="I78" s="1038" t="s">
        <v>1606</v>
      </c>
      <c r="J78" s="1307" t="s">
        <v>2151</v>
      </c>
      <c r="K78" s="1037"/>
      <c r="L78" s="1026"/>
      <c r="M78" s="615">
        <v>0</v>
      </c>
      <c r="N78" s="616">
        <v>1500000</v>
      </c>
      <c r="O78" s="615">
        <v>0</v>
      </c>
      <c r="P78" s="617"/>
      <c r="Q78" s="618">
        <v>0</v>
      </c>
      <c r="R78" s="617"/>
    </row>
    <row r="79" spans="1:18" ht="11.25" customHeight="1" x14ac:dyDescent="0.25">
      <c r="A79" s="612" t="s">
        <v>2189</v>
      </c>
      <c r="B79" s="613" t="s">
        <v>2290</v>
      </c>
      <c r="C79" s="614" t="s">
        <v>2399</v>
      </c>
      <c r="D79" s="1312" t="s">
        <v>2144</v>
      </c>
      <c r="E79" s="1313" t="s">
        <v>1776</v>
      </c>
      <c r="F79" s="1313" t="s">
        <v>1765</v>
      </c>
      <c r="G79" s="614"/>
      <c r="H79" s="1037" t="s">
        <v>1599</v>
      </c>
      <c r="I79" s="1038" t="s">
        <v>1606</v>
      </c>
      <c r="J79" s="1307" t="s">
        <v>2291</v>
      </c>
      <c r="K79" s="1037"/>
      <c r="L79" s="1026"/>
      <c r="M79" s="615">
        <v>0</v>
      </c>
      <c r="N79" s="616">
        <v>1000000</v>
      </c>
      <c r="O79" s="615">
        <v>500000</v>
      </c>
      <c r="P79" s="617"/>
      <c r="Q79" s="618">
        <v>1000000</v>
      </c>
      <c r="R79" s="617"/>
    </row>
    <row r="80" spans="1:18" ht="11.25" customHeight="1" x14ac:dyDescent="0.25">
      <c r="A80" s="612" t="s">
        <v>2189</v>
      </c>
      <c r="B80" s="613" t="s">
        <v>2292</v>
      </c>
      <c r="C80" s="614" t="s">
        <v>2365</v>
      </c>
      <c r="D80" s="1312" t="s">
        <v>2144</v>
      </c>
      <c r="E80" s="1313" t="s">
        <v>1776</v>
      </c>
      <c r="F80" s="1313" t="s">
        <v>1765</v>
      </c>
      <c r="G80" s="614"/>
      <c r="H80" s="1037" t="s">
        <v>1599</v>
      </c>
      <c r="I80" s="1038" t="s">
        <v>1606</v>
      </c>
      <c r="J80" s="1307" t="s">
        <v>2192</v>
      </c>
      <c r="K80" s="1037"/>
      <c r="L80" s="1026"/>
      <c r="M80" s="615">
        <v>0</v>
      </c>
      <c r="N80" s="616">
        <v>10000000</v>
      </c>
      <c r="O80" s="615">
        <v>0</v>
      </c>
      <c r="P80" s="617"/>
      <c r="Q80" s="618">
        <v>0</v>
      </c>
      <c r="R80" s="617"/>
    </row>
    <row r="81" spans="1:18" ht="11.25" customHeight="1" x14ac:dyDescent="0.25">
      <c r="A81" s="612" t="s">
        <v>2189</v>
      </c>
      <c r="B81" s="613" t="s">
        <v>2293</v>
      </c>
      <c r="C81" s="614" t="s">
        <v>2400</v>
      </c>
      <c r="D81" s="1312" t="s">
        <v>2144</v>
      </c>
      <c r="E81" s="1313" t="s">
        <v>1776</v>
      </c>
      <c r="F81" s="1313" t="s">
        <v>1765</v>
      </c>
      <c r="G81" s="614"/>
      <c r="H81" s="1037" t="s">
        <v>1599</v>
      </c>
      <c r="I81" s="1038" t="s">
        <v>1606</v>
      </c>
      <c r="J81" s="1307" t="s">
        <v>2257</v>
      </c>
      <c r="K81" s="1037"/>
      <c r="L81" s="1026"/>
      <c r="M81" s="615">
        <v>0</v>
      </c>
      <c r="N81" s="616">
        <v>3000000</v>
      </c>
      <c r="O81" s="615">
        <v>1000000</v>
      </c>
      <c r="P81" s="617"/>
      <c r="Q81" s="618">
        <v>1500000</v>
      </c>
      <c r="R81" s="617"/>
    </row>
    <row r="82" spans="1:18" ht="11.25" customHeight="1" x14ac:dyDescent="0.25">
      <c r="A82" s="612" t="s">
        <v>2189</v>
      </c>
      <c r="B82" s="613" t="s">
        <v>2294</v>
      </c>
      <c r="C82" s="614" t="s">
        <v>2401</v>
      </c>
      <c r="D82" s="1312" t="s">
        <v>2144</v>
      </c>
      <c r="E82" s="1313" t="s">
        <v>1776</v>
      </c>
      <c r="F82" s="1313" t="s">
        <v>1765</v>
      </c>
      <c r="G82" s="614"/>
      <c r="H82" s="1037" t="s">
        <v>1599</v>
      </c>
      <c r="I82" s="1038" t="s">
        <v>1606</v>
      </c>
      <c r="J82" s="1307" t="s">
        <v>2260</v>
      </c>
      <c r="K82" s="1037"/>
      <c r="L82" s="1026"/>
      <c r="M82" s="615">
        <v>0</v>
      </c>
      <c r="N82" s="616">
        <v>1000000</v>
      </c>
      <c r="O82" s="615">
        <v>1000000</v>
      </c>
      <c r="P82" s="617"/>
      <c r="Q82" s="618">
        <v>1000000</v>
      </c>
      <c r="R82" s="617"/>
    </row>
    <row r="83" spans="1:18" ht="11.25" customHeight="1" x14ac:dyDescent="0.25">
      <c r="A83" s="612" t="s">
        <v>2295</v>
      </c>
      <c r="B83" s="613" t="s">
        <v>2296</v>
      </c>
      <c r="C83" s="614" t="s">
        <v>2406</v>
      </c>
      <c r="D83" s="1312" t="s">
        <v>2144</v>
      </c>
      <c r="E83" s="1313" t="s">
        <v>1776</v>
      </c>
      <c r="F83" s="1313" t="s">
        <v>1761</v>
      </c>
      <c r="G83" s="614"/>
      <c r="H83" s="1037" t="s">
        <v>1674</v>
      </c>
      <c r="I83" s="1038" t="s">
        <v>1620</v>
      </c>
      <c r="J83" s="1307" t="s">
        <v>2192</v>
      </c>
      <c r="K83" s="1037"/>
      <c r="L83" s="1026"/>
      <c r="M83" s="615">
        <v>0</v>
      </c>
      <c r="N83" s="616">
        <v>200000</v>
      </c>
      <c r="O83" s="615">
        <v>0</v>
      </c>
      <c r="P83" s="617"/>
      <c r="Q83" s="618">
        <v>0</v>
      </c>
      <c r="R83" s="617"/>
    </row>
    <row r="84" spans="1:18" ht="11.25" customHeight="1" x14ac:dyDescent="0.25">
      <c r="A84" s="612" t="s">
        <v>2295</v>
      </c>
      <c r="B84" s="613" t="s">
        <v>2297</v>
      </c>
      <c r="C84" s="614" t="s">
        <v>2407</v>
      </c>
      <c r="D84" s="1312" t="s">
        <v>2144</v>
      </c>
      <c r="E84" s="1313" t="s">
        <v>1776</v>
      </c>
      <c r="F84" s="1313" t="s">
        <v>1761</v>
      </c>
      <c r="G84" s="614"/>
      <c r="H84" s="1037" t="s">
        <v>1699</v>
      </c>
      <c r="I84" s="1038" t="s">
        <v>1620</v>
      </c>
      <c r="J84" s="1307" t="s">
        <v>2192</v>
      </c>
      <c r="K84" s="1037"/>
      <c r="L84" s="1026"/>
      <c r="M84" s="615">
        <v>0</v>
      </c>
      <c r="N84" s="616">
        <v>30000</v>
      </c>
      <c r="O84" s="615">
        <v>0</v>
      </c>
      <c r="P84" s="617"/>
      <c r="Q84" s="618">
        <v>0</v>
      </c>
      <c r="R84" s="617"/>
    </row>
    <row r="85" spans="1:18" ht="11.25" customHeight="1" x14ac:dyDescent="0.25">
      <c r="A85" s="612" t="s">
        <v>2141</v>
      </c>
      <c r="B85" s="613" t="s">
        <v>2298</v>
      </c>
      <c r="C85" s="614" t="s">
        <v>2334</v>
      </c>
      <c r="D85" s="1312" t="s">
        <v>2144</v>
      </c>
      <c r="E85" s="1313" t="s">
        <v>1776</v>
      </c>
      <c r="F85" s="1313" t="s">
        <v>1763</v>
      </c>
      <c r="G85" s="614"/>
      <c r="H85" s="1037" t="s">
        <v>1591</v>
      </c>
      <c r="I85" s="1038" t="s">
        <v>1592</v>
      </c>
      <c r="J85" s="1307" t="s">
        <v>2192</v>
      </c>
      <c r="K85" s="1037"/>
      <c r="L85" s="1026"/>
      <c r="M85" s="615">
        <v>0</v>
      </c>
      <c r="N85" s="616">
        <v>3488768</v>
      </c>
      <c r="O85" s="615">
        <v>0</v>
      </c>
      <c r="P85" s="617"/>
      <c r="Q85" s="618">
        <v>0</v>
      </c>
      <c r="R85" s="617"/>
    </row>
    <row r="86" spans="1:18" ht="11.25" customHeight="1" x14ac:dyDescent="0.25">
      <c r="A86" s="612" t="s">
        <v>2189</v>
      </c>
      <c r="B86" s="613" t="s">
        <v>2300</v>
      </c>
      <c r="C86" s="614" t="s">
        <v>2301</v>
      </c>
      <c r="D86" s="1312" t="s">
        <v>2144</v>
      </c>
      <c r="E86" s="1313" t="s">
        <v>1776</v>
      </c>
      <c r="F86" s="1313" t="s">
        <v>1765</v>
      </c>
      <c r="G86" s="614"/>
      <c r="H86" s="1037" t="s">
        <v>1599</v>
      </c>
      <c r="I86" s="1038" t="s">
        <v>1594</v>
      </c>
      <c r="J86" s="1307" t="s">
        <v>2192</v>
      </c>
      <c r="K86" s="1037"/>
      <c r="L86" s="1026"/>
      <c r="M86" s="615">
        <v>1500000</v>
      </c>
      <c r="N86" s="616">
        <v>1400000</v>
      </c>
      <c r="O86" s="615">
        <v>0</v>
      </c>
      <c r="P86" s="617"/>
      <c r="Q86" s="618">
        <v>0</v>
      </c>
      <c r="R86" s="617"/>
    </row>
    <row r="87" spans="1:18" ht="11.25" customHeight="1" x14ac:dyDescent="0.25">
      <c r="A87" s="612" t="s">
        <v>2302</v>
      </c>
      <c r="B87" s="613" t="s">
        <v>2303</v>
      </c>
      <c r="C87" s="614" t="s">
        <v>2402</v>
      </c>
      <c r="D87" s="1312" t="s">
        <v>2144</v>
      </c>
      <c r="E87" s="1313" t="s">
        <v>1776</v>
      </c>
      <c r="F87" s="1313" t="s">
        <v>1765</v>
      </c>
      <c r="G87" s="614"/>
      <c r="H87" s="1037" t="s">
        <v>1599</v>
      </c>
      <c r="I87" s="1038" t="s">
        <v>1594</v>
      </c>
      <c r="J87" s="1307" t="s">
        <v>2192</v>
      </c>
      <c r="K87" s="1037"/>
      <c r="L87" s="1026"/>
      <c r="M87" s="615">
        <v>0</v>
      </c>
      <c r="N87" s="616">
        <v>1956687</v>
      </c>
      <c r="O87" s="615">
        <v>0</v>
      </c>
      <c r="P87" s="617"/>
      <c r="Q87" s="618">
        <v>0</v>
      </c>
      <c r="R87" s="617"/>
    </row>
    <row r="88" spans="1:18" ht="11.25" customHeight="1" x14ac:dyDescent="0.25">
      <c r="A88" s="612" t="s">
        <v>2304</v>
      </c>
      <c r="B88" s="613" t="s">
        <v>2305</v>
      </c>
      <c r="C88" s="614" t="s">
        <v>2306</v>
      </c>
      <c r="D88" s="1312" t="s">
        <v>2171</v>
      </c>
      <c r="E88" s="1313" t="s">
        <v>1776</v>
      </c>
      <c r="F88" s="1313" t="s">
        <v>1765</v>
      </c>
      <c r="G88" s="614"/>
      <c r="H88" s="1037" t="s">
        <v>1674</v>
      </c>
      <c r="I88" s="1038" t="s">
        <v>1649</v>
      </c>
      <c r="J88" s="1307" t="s">
        <v>2192</v>
      </c>
      <c r="K88" s="1037"/>
      <c r="L88" s="1026"/>
      <c r="M88" s="615">
        <v>0</v>
      </c>
      <c r="N88" s="616">
        <v>2500000</v>
      </c>
      <c r="O88" s="615">
        <v>0</v>
      </c>
      <c r="P88" s="617"/>
      <c r="Q88" s="618">
        <v>0</v>
      </c>
      <c r="R88" s="617"/>
    </row>
    <row r="89" spans="1:18" ht="11.25" customHeight="1" x14ac:dyDescent="0.25">
      <c r="A89" s="612" t="s">
        <v>2141</v>
      </c>
      <c r="B89" s="613" t="s">
        <v>2307</v>
      </c>
      <c r="C89" s="614" t="s">
        <v>2308</v>
      </c>
      <c r="D89" s="1312" t="s">
        <v>2171</v>
      </c>
      <c r="E89" s="1313" t="s">
        <v>1776</v>
      </c>
      <c r="F89" s="1313" t="s">
        <v>1765</v>
      </c>
      <c r="G89" s="614"/>
      <c r="H89" s="1037" t="s">
        <v>1591</v>
      </c>
      <c r="I89" s="1038" t="s">
        <v>1008</v>
      </c>
      <c r="J89" s="1307" t="s">
        <v>2192</v>
      </c>
      <c r="K89" s="1037"/>
      <c r="L89" s="1026"/>
      <c r="M89" s="615">
        <v>0</v>
      </c>
      <c r="N89" s="616">
        <v>900000</v>
      </c>
      <c r="O89" s="615">
        <v>0</v>
      </c>
      <c r="P89" s="617"/>
      <c r="Q89" s="618">
        <v>0</v>
      </c>
      <c r="R89" s="617"/>
    </row>
    <row r="90" spans="1:18" ht="11.25" customHeight="1" x14ac:dyDescent="0.25">
      <c r="A90" s="612" t="s">
        <v>2295</v>
      </c>
      <c r="B90" s="613" t="s">
        <v>2309</v>
      </c>
      <c r="C90" s="614" t="s">
        <v>2310</v>
      </c>
      <c r="D90" s="1312" t="s">
        <v>2144</v>
      </c>
      <c r="E90" s="1313" t="s">
        <v>1776</v>
      </c>
      <c r="F90" s="1313" t="s">
        <v>1765</v>
      </c>
      <c r="G90" s="614"/>
      <c r="H90" s="1037" t="s">
        <v>1699</v>
      </c>
      <c r="I90" s="1038" t="s">
        <v>1594</v>
      </c>
      <c r="J90" s="1307" t="s">
        <v>2205</v>
      </c>
      <c r="K90" s="1037"/>
      <c r="L90" s="1026"/>
      <c r="M90" s="615">
        <v>300000</v>
      </c>
      <c r="N90" s="616">
        <v>348000</v>
      </c>
      <c r="O90" s="615">
        <v>0</v>
      </c>
      <c r="P90" s="617"/>
      <c r="Q90" s="618">
        <v>0</v>
      </c>
      <c r="R90" s="617"/>
    </row>
    <row r="91" spans="1:18" ht="11.25" customHeight="1" x14ac:dyDescent="0.25">
      <c r="A91" s="612" t="s">
        <v>2311</v>
      </c>
      <c r="B91" s="613" t="s">
        <v>2312</v>
      </c>
      <c r="C91" s="614" t="s">
        <v>2313</v>
      </c>
      <c r="D91" s="1312" t="s">
        <v>2144</v>
      </c>
      <c r="E91" s="1313" t="s">
        <v>1776</v>
      </c>
      <c r="F91" s="1313" t="s">
        <v>1765</v>
      </c>
      <c r="G91" s="614"/>
      <c r="H91" s="1037" t="s">
        <v>1698</v>
      </c>
      <c r="I91" s="1038" t="s">
        <v>1594</v>
      </c>
      <c r="J91" s="1307" t="s">
        <v>2314</v>
      </c>
      <c r="K91" s="1037"/>
      <c r="L91" s="1026"/>
      <c r="M91" s="615">
        <v>235000</v>
      </c>
      <c r="N91" s="616">
        <v>235000</v>
      </c>
      <c r="O91" s="615">
        <v>0</v>
      </c>
      <c r="P91" s="617"/>
      <c r="Q91" s="618">
        <v>0</v>
      </c>
      <c r="R91" s="617"/>
    </row>
    <row r="92" spans="1:18" ht="11.25" customHeight="1" x14ac:dyDescent="0.25">
      <c r="A92" s="612" t="s">
        <v>2189</v>
      </c>
      <c r="B92" s="613" t="s">
        <v>2315</v>
      </c>
      <c r="C92" s="614" t="s">
        <v>2316</v>
      </c>
      <c r="D92" s="1312" t="s">
        <v>2144</v>
      </c>
      <c r="E92" s="1313" t="s">
        <v>1776</v>
      </c>
      <c r="F92" s="1313" t="s">
        <v>1765</v>
      </c>
      <c r="G92" s="614"/>
      <c r="H92" s="1037" t="s">
        <v>1699</v>
      </c>
      <c r="I92" s="1038" t="s">
        <v>1675</v>
      </c>
      <c r="J92" s="1307" t="s">
        <v>2314</v>
      </c>
      <c r="K92" s="1037"/>
      <c r="L92" s="1026"/>
      <c r="M92" s="615">
        <v>100000</v>
      </c>
      <c r="N92" s="616">
        <v>0</v>
      </c>
      <c r="O92" s="615">
        <v>0</v>
      </c>
      <c r="P92" s="617"/>
      <c r="Q92" s="618">
        <v>0</v>
      </c>
      <c r="R92" s="617"/>
    </row>
    <row r="93" spans="1:18" ht="11.25" customHeight="1" x14ac:dyDescent="0.25">
      <c r="A93" s="612" t="s">
        <v>2141</v>
      </c>
      <c r="B93" s="613" t="s">
        <v>2317</v>
      </c>
      <c r="C93" s="614" t="s">
        <v>2318</v>
      </c>
      <c r="D93" s="1312" t="s">
        <v>2144</v>
      </c>
      <c r="E93" s="1313" t="s">
        <v>1776</v>
      </c>
      <c r="F93" s="1313" t="s">
        <v>1765</v>
      </c>
      <c r="G93" s="614"/>
      <c r="H93" s="1037" t="s">
        <v>1699</v>
      </c>
      <c r="I93" s="1038" t="s">
        <v>1675</v>
      </c>
      <c r="J93" s="1307" t="s">
        <v>2314</v>
      </c>
      <c r="K93" s="1037"/>
      <c r="L93" s="1026"/>
      <c r="M93" s="615">
        <v>100000</v>
      </c>
      <c r="N93" s="616">
        <v>33555</v>
      </c>
      <c r="O93" s="615">
        <v>0</v>
      </c>
      <c r="P93" s="617"/>
      <c r="Q93" s="618">
        <v>0</v>
      </c>
      <c r="R93" s="617"/>
    </row>
    <row r="94" spans="1:18" ht="11.25" customHeight="1" x14ac:dyDescent="0.25">
      <c r="A94" s="612" t="s">
        <v>1820</v>
      </c>
      <c r="B94" s="613" t="s">
        <v>2319</v>
      </c>
      <c r="C94" s="614" t="s">
        <v>2320</v>
      </c>
      <c r="D94" s="1312" t="s">
        <v>2144</v>
      </c>
      <c r="E94" s="1313" t="s">
        <v>1776</v>
      </c>
      <c r="F94" s="1313" t="s">
        <v>1765</v>
      </c>
      <c r="G94" s="614"/>
      <c r="H94" s="1037" t="s">
        <v>1699</v>
      </c>
      <c r="I94" s="1038" t="s">
        <v>1675</v>
      </c>
      <c r="J94" s="1307" t="s">
        <v>2314</v>
      </c>
      <c r="K94" s="1037"/>
      <c r="L94" s="1026"/>
      <c r="M94" s="615">
        <v>100000</v>
      </c>
      <c r="N94" s="616">
        <v>6059</v>
      </c>
      <c r="O94" s="615">
        <v>0</v>
      </c>
      <c r="P94" s="617"/>
      <c r="Q94" s="618">
        <v>0</v>
      </c>
      <c r="R94" s="617"/>
    </row>
    <row r="95" spans="1:18" ht="11.25" customHeight="1" x14ac:dyDescent="0.25">
      <c r="A95" s="612" t="s">
        <v>2321</v>
      </c>
      <c r="B95" s="613" t="s">
        <v>2322</v>
      </c>
      <c r="C95" s="614" t="s">
        <v>2323</v>
      </c>
      <c r="D95" s="1312" t="s">
        <v>2144</v>
      </c>
      <c r="E95" s="1313" t="s">
        <v>1776</v>
      </c>
      <c r="F95" s="1313" t="s">
        <v>1765</v>
      </c>
      <c r="G95" s="614"/>
      <c r="H95" s="1037" t="s">
        <v>1699</v>
      </c>
      <c r="I95" s="1038" t="s">
        <v>1675</v>
      </c>
      <c r="J95" s="1307" t="s">
        <v>2314</v>
      </c>
      <c r="K95" s="1037"/>
      <c r="L95" s="1026"/>
      <c r="M95" s="615">
        <v>100000</v>
      </c>
      <c r="N95" s="616">
        <v>38299</v>
      </c>
      <c r="O95" s="615">
        <v>0</v>
      </c>
      <c r="P95" s="617"/>
      <c r="Q95" s="618">
        <v>0</v>
      </c>
      <c r="R95" s="617"/>
    </row>
    <row r="96" spans="1:18" ht="11.25" customHeight="1" x14ac:dyDescent="0.25">
      <c r="A96" s="612" t="s">
        <v>2302</v>
      </c>
      <c r="B96" s="613" t="s">
        <v>2324</v>
      </c>
      <c r="C96" s="614" t="s">
        <v>2325</v>
      </c>
      <c r="D96" s="1312" t="s">
        <v>2144</v>
      </c>
      <c r="E96" s="1313" t="s">
        <v>1776</v>
      </c>
      <c r="F96" s="1313" t="s">
        <v>1765</v>
      </c>
      <c r="G96" s="614"/>
      <c r="H96" s="1037" t="s">
        <v>1699</v>
      </c>
      <c r="I96" s="1038" t="s">
        <v>1675</v>
      </c>
      <c r="J96" s="1307" t="s">
        <v>2314</v>
      </c>
      <c r="K96" s="1037"/>
      <c r="L96" s="1026"/>
      <c r="M96" s="615">
        <v>100000</v>
      </c>
      <c r="N96" s="616">
        <v>96143</v>
      </c>
      <c r="O96" s="615">
        <v>0</v>
      </c>
      <c r="P96" s="617"/>
      <c r="Q96" s="618">
        <v>0</v>
      </c>
      <c r="R96" s="617"/>
    </row>
    <row r="97" spans="1:18" ht="11.25" customHeight="1" x14ac:dyDescent="0.25">
      <c r="A97" s="612" t="s">
        <v>2326</v>
      </c>
      <c r="B97" s="613" t="s">
        <v>2327</v>
      </c>
      <c r="C97" s="614" t="s">
        <v>2328</v>
      </c>
      <c r="D97" s="1312" t="s">
        <v>2144</v>
      </c>
      <c r="E97" s="1313" t="s">
        <v>1776</v>
      </c>
      <c r="F97" s="1313" t="s">
        <v>1765</v>
      </c>
      <c r="G97" s="614"/>
      <c r="H97" s="1037" t="s">
        <v>1699</v>
      </c>
      <c r="I97" s="1038" t="s">
        <v>1675</v>
      </c>
      <c r="J97" s="1307" t="s">
        <v>2314</v>
      </c>
      <c r="K97" s="1037"/>
      <c r="L97" s="1026"/>
      <c r="M97" s="615">
        <v>100000</v>
      </c>
      <c r="N97" s="616">
        <v>13891</v>
      </c>
      <c r="O97" s="615">
        <v>0</v>
      </c>
      <c r="P97" s="617"/>
      <c r="Q97" s="618">
        <v>0</v>
      </c>
      <c r="R97" s="617"/>
    </row>
    <row r="98" spans="1:18" ht="11.25" customHeight="1" x14ac:dyDescent="0.25">
      <c r="A98" s="612" t="s">
        <v>2295</v>
      </c>
      <c r="B98" s="613" t="s">
        <v>2329</v>
      </c>
      <c r="C98" s="614" t="s">
        <v>2330</v>
      </c>
      <c r="D98" s="1312" t="s">
        <v>2144</v>
      </c>
      <c r="E98" s="1313" t="s">
        <v>1776</v>
      </c>
      <c r="F98" s="1313" t="s">
        <v>1765</v>
      </c>
      <c r="G98" s="614"/>
      <c r="H98" s="1037" t="s">
        <v>1699</v>
      </c>
      <c r="I98" s="1038" t="s">
        <v>1675</v>
      </c>
      <c r="J98" s="1307" t="s">
        <v>2314</v>
      </c>
      <c r="K98" s="1037"/>
      <c r="L98" s="1026"/>
      <c r="M98" s="615">
        <v>100000</v>
      </c>
      <c r="N98" s="616">
        <v>7366</v>
      </c>
      <c r="O98" s="615">
        <v>0</v>
      </c>
      <c r="P98" s="617"/>
      <c r="Q98" s="618">
        <v>0</v>
      </c>
      <c r="R98" s="617"/>
    </row>
    <row r="99" spans="1:18" ht="11.25" customHeight="1" x14ac:dyDescent="0.25">
      <c r="A99" s="612" t="s">
        <v>2141</v>
      </c>
      <c r="B99" s="613" t="s">
        <v>2331</v>
      </c>
      <c r="C99" s="614" t="s">
        <v>2164</v>
      </c>
      <c r="D99" s="1312" t="s">
        <v>2144</v>
      </c>
      <c r="E99" s="1313" t="s">
        <v>1776</v>
      </c>
      <c r="F99" s="1313" t="s">
        <v>1765</v>
      </c>
      <c r="G99" s="614"/>
      <c r="H99" s="1037" t="s">
        <v>1595</v>
      </c>
      <c r="I99" s="1038" t="s">
        <v>1597</v>
      </c>
      <c r="J99" s="1307" t="s">
        <v>2332</v>
      </c>
      <c r="K99" s="1037"/>
      <c r="L99" s="1026"/>
      <c r="M99" s="615">
        <v>3500000</v>
      </c>
      <c r="N99" s="616">
        <v>0</v>
      </c>
      <c r="O99" s="615">
        <v>0</v>
      </c>
      <c r="P99" s="617"/>
      <c r="Q99" s="618">
        <v>0</v>
      </c>
      <c r="R99" s="617"/>
    </row>
    <row r="100" spans="1:18" ht="11.25" customHeight="1" x14ac:dyDescent="0.25">
      <c r="A100" s="612" t="s">
        <v>2141</v>
      </c>
      <c r="B100" s="613" t="s">
        <v>2333</v>
      </c>
      <c r="C100" s="614" t="s">
        <v>2334</v>
      </c>
      <c r="D100" s="1312" t="s">
        <v>2144</v>
      </c>
      <c r="E100" s="1313" t="s">
        <v>1776</v>
      </c>
      <c r="F100" s="1313" t="s">
        <v>1765</v>
      </c>
      <c r="G100" s="614"/>
      <c r="H100" s="1037" t="s">
        <v>1591</v>
      </c>
      <c r="I100" s="1038" t="s">
        <v>1592</v>
      </c>
      <c r="J100" s="1307" t="s">
        <v>2192</v>
      </c>
      <c r="K100" s="1037"/>
      <c r="L100" s="1026"/>
      <c r="M100" s="615">
        <v>3488768</v>
      </c>
      <c r="N100" s="616"/>
      <c r="O100" s="615">
        <v>0</v>
      </c>
      <c r="P100" s="617"/>
      <c r="Q100" s="618">
        <v>0</v>
      </c>
      <c r="R100" s="617"/>
    </row>
    <row r="101" spans="1:18" ht="11.25" customHeight="1" x14ac:dyDescent="0.25">
      <c r="A101" s="612" t="s">
        <v>2141</v>
      </c>
      <c r="B101" s="613" t="s">
        <v>2408</v>
      </c>
      <c r="C101" s="614" t="s">
        <v>2403</v>
      </c>
      <c r="D101" s="1312" t="s">
        <v>2171</v>
      </c>
      <c r="E101" s="1313" t="s">
        <v>1776</v>
      </c>
      <c r="F101" s="1313" t="s">
        <v>1765</v>
      </c>
      <c r="G101" s="614"/>
      <c r="H101" s="1037" t="s">
        <v>1674</v>
      </c>
      <c r="I101" s="1038" t="s">
        <v>1675</v>
      </c>
      <c r="J101" s="1307" t="s">
        <v>2314</v>
      </c>
      <c r="K101" s="1037"/>
      <c r="L101" s="1026"/>
      <c r="M101" s="615">
        <v>11756765</v>
      </c>
      <c r="N101" s="616"/>
      <c r="O101" s="615"/>
      <c r="P101" s="617"/>
      <c r="Q101" s="618"/>
      <c r="R101" s="617"/>
    </row>
    <row r="102" spans="1:18" ht="11.25" customHeight="1" x14ac:dyDescent="0.25">
      <c r="A102" s="612" t="s">
        <v>2304</v>
      </c>
      <c r="B102" s="613" t="s">
        <v>2335</v>
      </c>
      <c r="C102" s="614" t="s">
        <v>2336</v>
      </c>
      <c r="D102" s="1312" t="s">
        <v>2144</v>
      </c>
      <c r="E102" s="1313" t="s">
        <v>1776</v>
      </c>
      <c r="F102" s="1313" t="s">
        <v>1765</v>
      </c>
      <c r="G102" s="614"/>
      <c r="H102" s="1037" t="s">
        <v>1674</v>
      </c>
      <c r="I102" s="1038" t="s">
        <v>1671</v>
      </c>
      <c r="J102" s="1307" t="s">
        <v>2192</v>
      </c>
      <c r="K102" s="1037"/>
      <c r="L102" s="1026"/>
      <c r="M102" s="615">
        <v>750000</v>
      </c>
      <c r="N102" s="616">
        <v>0</v>
      </c>
      <c r="O102" s="615">
        <v>0</v>
      </c>
      <c r="P102" s="617"/>
      <c r="Q102" s="618">
        <v>0</v>
      </c>
      <c r="R102" s="617"/>
    </row>
    <row r="103" spans="1:18" ht="11.25" customHeight="1" x14ac:dyDescent="0.25">
      <c r="A103" s="612" t="s">
        <v>2141</v>
      </c>
      <c r="B103" s="613" t="s">
        <v>2187</v>
      </c>
      <c r="C103" s="614" t="s">
        <v>2337</v>
      </c>
      <c r="D103" s="1312" t="s">
        <v>2144</v>
      </c>
      <c r="E103" s="1313" t="s">
        <v>1776</v>
      </c>
      <c r="F103" s="1313" t="s">
        <v>1765</v>
      </c>
      <c r="G103" s="614"/>
      <c r="H103" s="1037" t="s">
        <v>1644</v>
      </c>
      <c r="I103" s="1038" t="s">
        <v>1661</v>
      </c>
      <c r="J103" s="1307" t="s">
        <v>2175</v>
      </c>
      <c r="K103" s="1037"/>
      <c r="L103" s="1026"/>
      <c r="M103" s="615">
        <v>3993235</v>
      </c>
      <c r="N103" s="616">
        <v>0</v>
      </c>
      <c r="O103" s="615">
        <v>0</v>
      </c>
      <c r="P103" s="617"/>
      <c r="Q103" s="618">
        <v>0</v>
      </c>
      <c r="R103" s="617"/>
    </row>
    <row r="104" spans="1:18" ht="11.25" customHeight="1" x14ac:dyDescent="0.25">
      <c r="A104" s="612" t="s">
        <v>2141</v>
      </c>
      <c r="B104" s="613" t="s">
        <v>2307</v>
      </c>
      <c r="C104" s="614" t="s">
        <v>2308</v>
      </c>
      <c r="D104" s="1312" t="s">
        <v>2171</v>
      </c>
      <c r="E104" s="1313" t="s">
        <v>1776</v>
      </c>
      <c r="F104" s="1313" t="s">
        <v>1765</v>
      </c>
      <c r="G104" s="614"/>
      <c r="H104" s="1037" t="s">
        <v>1591</v>
      </c>
      <c r="I104" s="1038" t="s">
        <v>1008</v>
      </c>
      <c r="J104" s="1307" t="s">
        <v>2192</v>
      </c>
      <c r="K104" s="1037"/>
      <c r="L104" s="1026"/>
      <c r="M104" s="615">
        <v>900000</v>
      </c>
      <c r="N104" s="616">
        <v>0</v>
      </c>
      <c r="O104" s="615">
        <v>0</v>
      </c>
      <c r="P104" s="617"/>
      <c r="Q104" s="618">
        <v>0</v>
      </c>
      <c r="R104" s="617"/>
    </row>
    <row r="105" spans="1:18" ht="11.25" customHeight="1" x14ac:dyDescent="0.25">
      <c r="A105" s="612" t="s">
        <v>2141</v>
      </c>
      <c r="B105" s="613" t="s">
        <v>2338</v>
      </c>
      <c r="C105" s="614" t="s">
        <v>2337</v>
      </c>
      <c r="D105" s="1312" t="s">
        <v>2144</v>
      </c>
      <c r="E105" s="1313" t="s">
        <v>1776</v>
      </c>
      <c r="F105" s="1313" t="s">
        <v>1763</v>
      </c>
      <c r="G105" s="614"/>
      <c r="H105" s="1037" t="s">
        <v>1591</v>
      </c>
      <c r="I105" s="1038" t="s">
        <v>1008</v>
      </c>
      <c r="J105" s="1307" t="s">
        <v>2192</v>
      </c>
      <c r="K105" s="1037"/>
      <c r="L105" s="1026"/>
      <c r="M105" s="615">
        <v>1325562</v>
      </c>
      <c r="N105" s="616">
        <v>0</v>
      </c>
      <c r="O105" s="615">
        <v>0</v>
      </c>
      <c r="P105" s="617"/>
      <c r="Q105" s="618">
        <v>0</v>
      </c>
      <c r="R105" s="617"/>
    </row>
    <row r="106" spans="1:18" ht="11.25" customHeight="1" x14ac:dyDescent="0.25">
      <c r="A106" s="612" t="s">
        <v>2141</v>
      </c>
      <c r="B106" s="613" t="s">
        <v>2339</v>
      </c>
      <c r="C106" s="614" t="s">
        <v>2340</v>
      </c>
      <c r="D106" s="1312" t="s">
        <v>2144</v>
      </c>
      <c r="E106" s="1313" t="s">
        <v>1776</v>
      </c>
      <c r="F106" s="1313" t="s">
        <v>1763</v>
      </c>
      <c r="G106" s="614"/>
      <c r="H106" s="1037" t="s">
        <v>1591</v>
      </c>
      <c r="I106" s="1038" t="s">
        <v>1008</v>
      </c>
      <c r="J106" s="1307" t="s">
        <v>2192</v>
      </c>
      <c r="K106" s="1037"/>
      <c r="L106" s="1026"/>
      <c r="M106" s="615">
        <v>1723230</v>
      </c>
      <c r="N106" s="616">
        <v>0</v>
      </c>
      <c r="O106" s="615">
        <v>0</v>
      </c>
      <c r="P106" s="617"/>
      <c r="Q106" s="618">
        <v>0</v>
      </c>
      <c r="R106" s="617"/>
    </row>
    <row r="107" spans="1:18" ht="11.25" customHeight="1" x14ac:dyDescent="0.25">
      <c r="A107" s="612" t="s">
        <v>2141</v>
      </c>
      <c r="B107" s="613" t="s">
        <v>2341</v>
      </c>
      <c r="C107" s="614" t="s">
        <v>2342</v>
      </c>
      <c r="D107" s="1312" t="s">
        <v>2144</v>
      </c>
      <c r="E107" s="1313" t="s">
        <v>1776</v>
      </c>
      <c r="F107" s="1313" t="s">
        <v>1763</v>
      </c>
      <c r="G107" s="614"/>
      <c r="H107" s="1037" t="s">
        <v>1591</v>
      </c>
      <c r="I107" s="1038" t="s">
        <v>1008</v>
      </c>
      <c r="J107" s="1307" t="s">
        <v>2192</v>
      </c>
      <c r="K107" s="1037"/>
      <c r="L107" s="1026"/>
      <c r="M107" s="615">
        <v>1060445</v>
      </c>
      <c r="N107" s="616">
        <v>0</v>
      </c>
      <c r="O107" s="615">
        <v>0</v>
      </c>
      <c r="P107" s="617"/>
      <c r="Q107" s="618">
        <v>0</v>
      </c>
      <c r="R107" s="617"/>
    </row>
    <row r="108" spans="1:18" ht="11.25" customHeight="1" x14ac:dyDescent="0.25">
      <c r="A108" s="612" t="s">
        <v>2141</v>
      </c>
      <c r="B108" s="613" t="s">
        <v>2343</v>
      </c>
      <c r="C108" s="614" t="s">
        <v>2344</v>
      </c>
      <c r="D108" s="1312" t="s">
        <v>2144</v>
      </c>
      <c r="E108" s="1313" t="s">
        <v>1776</v>
      </c>
      <c r="F108" s="1313" t="s">
        <v>1763</v>
      </c>
      <c r="G108" s="614"/>
      <c r="H108" s="1037" t="s">
        <v>1591</v>
      </c>
      <c r="I108" s="1038" t="s">
        <v>1008</v>
      </c>
      <c r="J108" s="1307" t="s">
        <v>2192</v>
      </c>
      <c r="K108" s="1037"/>
      <c r="L108" s="1026"/>
      <c r="M108" s="615">
        <v>1193005</v>
      </c>
      <c r="N108" s="616">
        <v>0</v>
      </c>
      <c r="O108" s="615">
        <v>0</v>
      </c>
      <c r="P108" s="617"/>
      <c r="Q108" s="618">
        <v>0</v>
      </c>
      <c r="R108" s="617"/>
    </row>
    <row r="109" spans="1:18" ht="11.25" customHeight="1" x14ac:dyDescent="0.25">
      <c r="A109" s="612" t="s">
        <v>2141</v>
      </c>
      <c r="B109" s="613" t="s">
        <v>2345</v>
      </c>
      <c r="C109" s="614" t="s">
        <v>2346</v>
      </c>
      <c r="D109" s="1312" t="s">
        <v>2144</v>
      </c>
      <c r="E109" s="1313" t="s">
        <v>1776</v>
      </c>
      <c r="F109" s="1313" t="s">
        <v>1763</v>
      </c>
      <c r="G109" s="614"/>
      <c r="H109" s="1037" t="s">
        <v>1591</v>
      </c>
      <c r="I109" s="1038" t="s">
        <v>1008</v>
      </c>
      <c r="J109" s="1307" t="s">
        <v>2192</v>
      </c>
      <c r="K109" s="1037"/>
      <c r="L109" s="1026"/>
      <c r="M109" s="615">
        <v>1325566</v>
      </c>
      <c r="N109" s="616">
        <v>0</v>
      </c>
      <c r="O109" s="615">
        <v>0</v>
      </c>
      <c r="P109" s="617"/>
      <c r="Q109" s="618">
        <v>0</v>
      </c>
      <c r="R109" s="617"/>
    </row>
    <row r="110" spans="1:18" ht="11.25" customHeight="1" x14ac:dyDescent="0.25">
      <c r="A110" s="612" t="s">
        <v>2141</v>
      </c>
      <c r="B110" s="613" t="s">
        <v>2347</v>
      </c>
      <c r="C110" s="614" t="s">
        <v>2348</v>
      </c>
      <c r="D110" s="1312" t="s">
        <v>2144</v>
      </c>
      <c r="E110" s="1313" t="s">
        <v>1776</v>
      </c>
      <c r="F110" s="1313" t="s">
        <v>1763</v>
      </c>
      <c r="G110" s="614"/>
      <c r="H110" s="1037" t="s">
        <v>1591</v>
      </c>
      <c r="I110" s="1038" t="s">
        <v>1008</v>
      </c>
      <c r="J110" s="1307" t="s">
        <v>2154</v>
      </c>
      <c r="K110" s="1037"/>
      <c r="L110" s="1026"/>
      <c r="M110" s="615">
        <v>6627808</v>
      </c>
      <c r="N110" s="616">
        <v>0</v>
      </c>
      <c r="O110" s="615">
        <v>0</v>
      </c>
      <c r="P110" s="617"/>
      <c r="Q110" s="618">
        <v>0</v>
      </c>
      <c r="R110" s="617"/>
    </row>
    <row r="111" spans="1:18" ht="11.25" customHeight="1" x14ac:dyDescent="0.25">
      <c r="A111" s="612" t="s">
        <v>2141</v>
      </c>
      <c r="B111" s="613" t="s">
        <v>2349</v>
      </c>
      <c r="C111" s="614" t="s">
        <v>2350</v>
      </c>
      <c r="D111" s="1312" t="s">
        <v>2144</v>
      </c>
      <c r="E111" s="1313" t="s">
        <v>1776</v>
      </c>
      <c r="F111" s="1313" t="s">
        <v>1763</v>
      </c>
      <c r="G111" s="614"/>
      <c r="H111" s="1037" t="s">
        <v>1591</v>
      </c>
      <c r="I111" s="1038" t="s">
        <v>1008</v>
      </c>
      <c r="J111" s="1307" t="s">
        <v>2175</v>
      </c>
      <c r="K111" s="1037"/>
      <c r="L111" s="1026"/>
      <c r="M111" s="615">
        <v>6627808</v>
      </c>
      <c r="N111" s="616">
        <v>0</v>
      </c>
      <c r="O111" s="615">
        <v>0</v>
      </c>
      <c r="P111" s="617"/>
      <c r="Q111" s="618">
        <v>0</v>
      </c>
      <c r="R111" s="617"/>
    </row>
    <row r="112" spans="1:18" ht="11.25" customHeight="1" x14ac:dyDescent="0.25">
      <c r="A112" s="612" t="s">
        <v>2141</v>
      </c>
      <c r="B112" s="613" t="s">
        <v>2351</v>
      </c>
      <c r="C112" s="614" t="s">
        <v>2352</v>
      </c>
      <c r="D112" s="1312" t="s">
        <v>2144</v>
      </c>
      <c r="E112" s="1313" t="s">
        <v>1776</v>
      </c>
      <c r="F112" s="1313" t="s">
        <v>1763</v>
      </c>
      <c r="G112" s="614"/>
      <c r="H112" s="1037" t="s">
        <v>1591</v>
      </c>
      <c r="I112" s="1038" t="s">
        <v>1008</v>
      </c>
      <c r="J112" s="1307" t="s">
        <v>2353</v>
      </c>
      <c r="K112" s="1037"/>
      <c r="L112" s="1026"/>
      <c r="M112" s="615">
        <v>530225</v>
      </c>
      <c r="N112" s="616">
        <v>0</v>
      </c>
      <c r="O112" s="615">
        <v>0</v>
      </c>
      <c r="P112" s="617"/>
      <c r="Q112" s="618">
        <v>0</v>
      </c>
      <c r="R112" s="617"/>
    </row>
    <row r="113" spans="1:18" ht="11.25" customHeight="1" x14ac:dyDescent="0.25">
      <c r="A113" s="612" t="s">
        <v>2141</v>
      </c>
      <c r="B113" s="613" t="s">
        <v>2354</v>
      </c>
      <c r="C113" s="614" t="s">
        <v>2355</v>
      </c>
      <c r="D113" s="1312" t="s">
        <v>2144</v>
      </c>
      <c r="E113" s="1313" t="s">
        <v>1776</v>
      </c>
      <c r="F113" s="1313" t="s">
        <v>1763</v>
      </c>
      <c r="G113" s="614"/>
      <c r="H113" s="1037" t="s">
        <v>1591</v>
      </c>
      <c r="I113" s="1038" t="s">
        <v>1008</v>
      </c>
      <c r="J113" s="1307" t="s">
        <v>2353</v>
      </c>
      <c r="K113" s="1037"/>
      <c r="L113" s="1026"/>
      <c r="M113" s="615">
        <v>397668</v>
      </c>
      <c r="N113" s="616">
        <v>0</v>
      </c>
      <c r="O113" s="615">
        <v>0</v>
      </c>
      <c r="P113" s="617"/>
      <c r="Q113" s="618">
        <v>0</v>
      </c>
      <c r="R113" s="617"/>
    </row>
    <row r="114" spans="1:18" ht="11.25" customHeight="1" x14ac:dyDescent="0.25">
      <c r="A114" s="612" t="s">
        <v>2141</v>
      </c>
      <c r="B114" s="613" t="s">
        <v>2356</v>
      </c>
      <c r="C114" s="614" t="s">
        <v>2357</v>
      </c>
      <c r="D114" s="1312" t="s">
        <v>2144</v>
      </c>
      <c r="E114" s="1313" t="s">
        <v>1776</v>
      </c>
      <c r="F114" s="1313" t="s">
        <v>1763</v>
      </c>
      <c r="G114" s="614"/>
      <c r="H114" s="1037" t="s">
        <v>1591</v>
      </c>
      <c r="I114" s="1038" t="s">
        <v>1008</v>
      </c>
      <c r="J114" s="1307" t="s">
        <v>2192</v>
      </c>
      <c r="K114" s="1037"/>
      <c r="L114" s="1026"/>
      <c r="M114" s="615">
        <v>927893</v>
      </c>
      <c r="N114" s="616">
        <v>0</v>
      </c>
      <c r="O114" s="615">
        <v>0</v>
      </c>
      <c r="P114" s="617"/>
      <c r="Q114" s="618">
        <v>0</v>
      </c>
      <c r="R114" s="617"/>
    </row>
    <row r="115" spans="1:18" ht="11.25" customHeight="1" x14ac:dyDescent="0.25">
      <c r="A115" s="612" t="s">
        <v>2141</v>
      </c>
      <c r="B115" s="613" t="s">
        <v>2358</v>
      </c>
      <c r="C115" s="614" t="s">
        <v>2359</v>
      </c>
      <c r="D115" s="1312" t="s">
        <v>2144</v>
      </c>
      <c r="E115" s="1313" t="s">
        <v>1776</v>
      </c>
      <c r="F115" s="1313" t="s">
        <v>1763</v>
      </c>
      <c r="G115" s="614"/>
      <c r="H115" s="1037" t="s">
        <v>1591</v>
      </c>
      <c r="I115" s="1038" t="s">
        <v>1008</v>
      </c>
      <c r="J115" s="1307" t="s">
        <v>2151</v>
      </c>
      <c r="K115" s="1037"/>
      <c r="L115" s="1026"/>
      <c r="M115" s="615">
        <v>3872022</v>
      </c>
      <c r="N115" s="616">
        <v>0</v>
      </c>
      <c r="O115" s="615">
        <v>0</v>
      </c>
      <c r="P115" s="617"/>
      <c r="Q115" s="618">
        <v>0</v>
      </c>
      <c r="R115" s="617"/>
    </row>
    <row r="116" spans="1:18" ht="11.25" customHeight="1" x14ac:dyDescent="0.25">
      <c r="A116" s="612" t="s">
        <v>2189</v>
      </c>
      <c r="B116" s="613" t="s">
        <v>2287</v>
      </c>
      <c r="C116" s="614" t="s">
        <v>2360</v>
      </c>
      <c r="D116" s="1312" t="s">
        <v>2171</v>
      </c>
      <c r="E116" s="1313" t="s">
        <v>1776</v>
      </c>
      <c r="F116" s="1313" t="s">
        <v>1765</v>
      </c>
      <c r="G116" s="614"/>
      <c r="H116" s="1037" t="s">
        <v>1599</v>
      </c>
      <c r="I116" s="1038" t="s">
        <v>1606</v>
      </c>
      <c r="J116" s="1307" t="s">
        <v>2218</v>
      </c>
      <c r="K116" s="1037"/>
      <c r="L116" s="1026"/>
      <c r="M116" s="615">
        <v>1000000</v>
      </c>
      <c r="N116" s="616">
        <v>0</v>
      </c>
      <c r="O116" s="615">
        <v>0</v>
      </c>
      <c r="P116" s="617"/>
      <c r="Q116" s="618">
        <v>0</v>
      </c>
      <c r="R116" s="617"/>
    </row>
    <row r="117" spans="1:18" ht="11.25" customHeight="1" x14ac:dyDescent="0.25">
      <c r="A117" s="612" t="s">
        <v>2189</v>
      </c>
      <c r="B117" s="613" t="s">
        <v>2361</v>
      </c>
      <c r="C117" s="614" t="s">
        <v>2245</v>
      </c>
      <c r="D117" s="1312" t="s">
        <v>2171</v>
      </c>
      <c r="E117" s="1313" t="s">
        <v>1776</v>
      </c>
      <c r="F117" s="1313" t="s">
        <v>1765</v>
      </c>
      <c r="G117" s="614"/>
      <c r="H117" s="1037" t="s">
        <v>1599</v>
      </c>
      <c r="I117" s="1038" t="s">
        <v>1606</v>
      </c>
      <c r="J117" s="1307" t="s">
        <v>2192</v>
      </c>
      <c r="K117" s="1037"/>
      <c r="L117" s="1026"/>
      <c r="M117" s="615">
        <v>1000000</v>
      </c>
      <c r="N117" s="616">
        <v>0</v>
      </c>
      <c r="O117" s="615">
        <v>0</v>
      </c>
      <c r="P117" s="617"/>
      <c r="Q117" s="618">
        <v>0</v>
      </c>
      <c r="R117" s="617"/>
    </row>
    <row r="118" spans="1:18" ht="11.25" customHeight="1" x14ac:dyDescent="0.25">
      <c r="A118" s="612" t="s">
        <v>2189</v>
      </c>
      <c r="B118" s="613" t="s">
        <v>2362</v>
      </c>
      <c r="C118" s="614" t="s">
        <v>2363</v>
      </c>
      <c r="D118" s="1312" t="s">
        <v>2144</v>
      </c>
      <c r="E118" s="1313" t="s">
        <v>1776</v>
      </c>
      <c r="F118" s="1313" t="s">
        <v>1765</v>
      </c>
      <c r="G118" s="614"/>
      <c r="H118" s="1037" t="s">
        <v>1599</v>
      </c>
      <c r="I118" s="1038" t="s">
        <v>1606</v>
      </c>
      <c r="J118" s="1307" t="s">
        <v>2192</v>
      </c>
      <c r="K118" s="1037"/>
      <c r="L118" s="1026"/>
      <c r="M118" s="615">
        <v>4000000</v>
      </c>
      <c r="N118" s="616">
        <v>0</v>
      </c>
      <c r="O118" s="615">
        <v>0</v>
      </c>
      <c r="P118" s="617"/>
      <c r="Q118" s="618">
        <v>0</v>
      </c>
      <c r="R118" s="617"/>
    </row>
    <row r="119" spans="1:18" ht="11.25" customHeight="1" x14ac:dyDescent="0.25">
      <c r="A119" s="612" t="s">
        <v>2189</v>
      </c>
      <c r="B119" s="613" t="s">
        <v>2364</v>
      </c>
      <c r="C119" s="614" t="s">
        <v>2365</v>
      </c>
      <c r="D119" s="1312" t="s">
        <v>2144</v>
      </c>
      <c r="E119" s="1313" t="s">
        <v>1776</v>
      </c>
      <c r="F119" s="1313" t="s">
        <v>1765</v>
      </c>
      <c r="G119" s="614"/>
      <c r="H119" s="1037" t="s">
        <v>1599</v>
      </c>
      <c r="I119" s="1038" t="s">
        <v>1606</v>
      </c>
      <c r="J119" s="1307" t="s">
        <v>2192</v>
      </c>
      <c r="K119" s="1037"/>
      <c r="L119" s="1026"/>
      <c r="M119" s="615">
        <v>4000000</v>
      </c>
      <c r="N119" s="616">
        <v>0</v>
      </c>
      <c r="O119" s="615">
        <v>0</v>
      </c>
      <c r="P119" s="617"/>
      <c r="Q119" s="618">
        <v>0</v>
      </c>
      <c r="R119" s="617"/>
    </row>
    <row r="120" spans="1:18" ht="11.25" customHeight="1" x14ac:dyDescent="0.25">
      <c r="A120" s="612" t="s">
        <v>2189</v>
      </c>
      <c r="B120" s="613" t="s">
        <v>2366</v>
      </c>
      <c r="C120" s="614"/>
      <c r="D120" s="1312" t="s">
        <v>2144</v>
      </c>
      <c r="E120" s="1313" t="s">
        <v>1776</v>
      </c>
      <c r="F120" s="1313" t="s">
        <v>1765</v>
      </c>
      <c r="G120" s="614"/>
      <c r="H120" s="1037" t="s">
        <v>1599</v>
      </c>
      <c r="I120" s="1038" t="s">
        <v>1606</v>
      </c>
      <c r="J120" s="1307" t="s">
        <v>2205</v>
      </c>
      <c r="K120" s="1037"/>
      <c r="L120" s="1026"/>
      <c r="M120" s="615">
        <v>15000000</v>
      </c>
      <c r="N120" s="616">
        <v>15000000</v>
      </c>
      <c r="O120" s="615">
        <v>15000000</v>
      </c>
      <c r="P120" s="617"/>
      <c r="Q120" s="618">
        <v>15000000</v>
      </c>
      <c r="R120" s="617"/>
    </row>
    <row r="121" spans="1:18" ht="11.25" customHeight="1" x14ac:dyDescent="0.25">
      <c r="A121" s="612" t="s">
        <v>2189</v>
      </c>
      <c r="B121" s="613" t="s">
        <v>2367</v>
      </c>
      <c r="C121" s="614"/>
      <c r="D121" s="1312" t="s">
        <v>2144</v>
      </c>
      <c r="E121" s="1313" t="s">
        <v>1776</v>
      </c>
      <c r="F121" s="1313" t="s">
        <v>1765</v>
      </c>
      <c r="G121" s="614"/>
      <c r="H121" s="1037" t="s">
        <v>1599</v>
      </c>
      <c r="I121" s="1038" t="s">
        <v>1606</v>
      </c>
      <c r="J121" s="1307" t="s">
        <v>2192</v>
      </c>
      <c r="K121" s="1037"/>
      <c r="L121" s="1026"/>
      <c r="M121" s="615">
        <v>0</v>
      </c>
      <c r="N121" s="616">
        <v>0</v>
      </c>
      <c r="O121" s="615">
        <v>500000</v>
      </c>
      <c r="P121" s="617"/>
      <c r="Q121" s="618">
        <v>0</v>
      </c>
      <c r="R121" s="617"/>
    </row>
    <row r="122" spans="1:18" ht="11.25" customHeight="1" x14ac:dyDescent="0.25">
      <c r="A122" s="612" t="s">
        <v>2189</v>
      </c>
      <c r="B122" s="613" t="s">
        <v>2368</v>
      </c>
      <c r="C122" s="614" t="s">
        <v>2194</v>
      </c>
      <c r="D122" s="1312" t="s">
        <v>2144</v>
      </c>
      <c r="E122" s="1313" t="s">
        <v>1776</v>
      </c>
      <c r="F122" s="1313" t="s">
        <v>1765</v>
      </c>
      <c r="G122" s="614"/>
      <c r="H122" s="1037" t="s">
        <v>1599</v>
      </c>
      <c r="I122" s="1038" t="s">
        <v>1606</v>
      </c>
      <c r="J122" s="1307" t="s">
        <v>2192</v>
      </c>
      <c r="K122" s="1037"/>
      <c r="L122" s="1026"/>
      <c r="M122" s="615">
        <v>0</v>
      </c>
      <c r="N122" s="616">
        <v>0</v>
      </c>
      <c r="O122" s="615">
        <v>1600000</v>
      </c>
      <c r="P122" s="617"/>
      <c r="Q122" s="618">
        <v>0</v>
      </c>
      <c r="R122" s="617"/>
    </row>
    <row r="123" spans="1:18" ht="11.25" customHeight="1" x14ac:dyDescent="0.25">
      <c r="A123" s="612" t="s">
        <v>2189</v>
      </c>
      <c r="B123" s="613" t="s">
        <v>2369</v>
      </c>
      <c r="C123" s="614" t="s">
        <v>2215</v>
      </c>
      <c r="D123" s="1312" t="s">
        <v>2144</v>
      </c>
      <c r="E123" s="1313" t="s">
        <v>1776</v>
      </c>
      <c r="F123" s="1313" t="s">
        <v>1765</v>
      </c>
      <c r="G123" s="614"/>
      <c r="H123" s="1037" t="s">
        <v>1599</v>
      </c>
      <c r="I123" s="1038" t="s">
        <v>1606</v>
      </c>
      <c r="J123" s="1307" t="s">
        <v>2151</v>
      </c>
      <c r="K123" s="1037"/>
      <c r="L123" s="1026"/>
      <c r="M123" s="615">
        <v>0</v>
      </c>
      <c r="N123" s="616">
        <v>0</v>
      </c>
      <c r="O123" s="615">
        <v>1050000</v>
      </c>
      <c r="P123" s="617"/>
      <c r="Q123" s="618">
        <v>1200000</v>
      </c>
      <c r="R123" s="617"/>
    </row>
    <row r="124" spans="1:18" ht="11.25" customHeight="1" x14ac:dyDescent="0.25">
      <c r="A124" s="612" t="s">
        <v>2189</v>
      </c>
      <c r="B124" s="613" t="s">
        <v>2370</v>
      </c>
      <c r="C124" s="614" t="s">
        <v>2213</v>
      </c>
      <c r="D124" s="1312" t="s">
        <v>2144</v>
      </c>
      <c r="E124" s="1313" t="s">
        <v>1776</v>
      </c>
      <c r="F124" s="1313" t="s">
        <v>1765</v>
      </c>
      <c r="G124" s="614"/>
      <c r="H124" s="1037" t="s">
        <v>1599</v>
      </c>
      <c r="I124" s="1038" t="s">
        <v>1606</v>
      </c>
      <c r="J124" s="1307" t="s">
        <v>2218</v>
      </c>
      <c r="K124" s="1037"/>
      <c r="L124" s="1026"/>
      <c r="M124" s="615">
        <v>0</v>
      </c>
      <c r="N124" s="616">
        <v>0</v>
      </c>
      <c r="O124" s="615">
        <v>1000000</v>
      </c>
      <c r="P124" s="617"/>
      <c r="Q124" s="618">
        <v>1500000</v>
      </c>
      <c r="R124" s="617"/>
    </row>
    <row r="125" spans="1:18" ht="11.25" customHeight="1" x14ac:dyDescent="0.25">
      <c r="A125" s="612" t="s">
        <v>2189</v>
      </c>
      <c r="B125" s="613" t="s">
        <v>2371</v>
      </c>
      <c r="C125" s="614" t="s">
        <v>2215</v>
      </c>
      <c r="D125" s="1312" t="s">
        <v>2144</v>
      </c>
      <c r="E125" s="1313" t="s">
        <v>1776</v>
      </c>
      <c r="F125" s="1313" t="s">
        <v>1765</v>
      </c>
      <c r="G125" s="614"/>
      <c r="H125" s="1037" t="s">
        <v>1599</v>
      </c>
      <c r="I125" s="1038" t="s">
        <v>1606</v>
      </c>
      <c r="J125" s="1307" t="s">
        <v>2218</v>
      </c>
      <c r="K125" s="1037"/>
      <c r="L125" s="1026"/>
      <c r="M125" s="615">
        <v>0</v>
      </c>
      <c r="N125" s="616">
        <v>0</v>
      </c>
      <c r="O125" s="615">
        <v>600000</v>
      </c>
      <c r="P125" s="617"/>
      <c r="Q125" s="618">
        <v>0</v>
      </c>
      <c r="R125" s="617"/>
    </row>
    <row r="126" spans="1:18" ht="11.25" customHeight="1" x14ac:dyDescent="0.25">
      <c r="A126" s="612" t="s">
        <v>2189</v>
      </c>
      <c r="B126" s="613" t="s">
        <v>2372</v>
      </c>
      <c r="C126" s="614" t="s">
        <v>2217</v>
      </c>
      <c r="D126" s="1312" t="s">
        <v>2144</v>
      </c>
      <c r="E126" s="1313" t="s">
        <v>1776</v>
      </c>
      <c r="F126" s="1313" t="s">
        <v>1765</v>
      </c>
      <c r="G126" s="614"/>
      <c r="H126" s="1037" t="s">
        <v>1599</v>
      </c>
      <c r="I126" s="1038" t="s">
        <v>1606</v>
      </c>
      <c r="J126" s="1307" t="s">
        <v>2151</v>
      </c>
      <c r="K126" s="1037"/>
      <c r="L126" s="1026"/>
      <c r="M126" s="615">
        <v>0</v>
      </c>
      <c r="N126" s="616">
        <v>0</v>
      </c>
      <c r="O126" s="615">
        <v>400000</v>
      </c>
      <c r="P126" s="617"/>
      <c r="Q126" s="618">
        <v>0</v>
      </c>
      <c r="R126" s="617"/>
    </row>
    <row r="127" spans="1:18" ht="11.25" customHeight="1" x14ac:dyDescent="0.25">
      <c r="A127" s="612" t="s">
        <v>2189</v>
      </c>
      <c r="B127" s="613" t="s">
        <v>2373</v>
      </c>
      <c r="C127" s="614" t="s">
        <v>2404</v>
      </c>
      <c r="D127" s="1312" t="s">
        <v>2144</v>
      </c>
      <c r="E127" s="1313" t="s">
        <v>1776</v>
      </c>
      <c r="F127" s="1313" t="s">
        <v>1765</v>
      </c>
      <c r="G127" s="614"/>
      <c r="H127" s="1037" t="s">
        <v>1599</v>
      </c>
      <c r="I127" s="1038" t="s">
        <v>1606</v>
      </c>
      <c r="J127" s="1307" t="s">
        <v>2162</v>
      </c>
      <c r="K127" s="1037"/>
      <c r="L127" s="1026"/>
      <c r="M127" s="615">
        <v>0</v>
      </c>
      <c r="N127" s="616">
        <v>0</v>
      </c>
      <c r="O127" s="615">
        <v>600000</v>
      </c>
      <c r="P127" s="617"/>
      <c r="Q127" s="618">
        <v>600000</v>
      </c>
      <c r="R127" s="617"/>
    </row>
    <row r="128" spans="1:18" ht="11.25" customHeight="1" x14ac:dyDescent="0.25">
      <c r="A128" s="612" t="s">
        <v>2189</v>
      </c>
      <c r="B128" s="613" t="s">
        <v>2374</v>
      </c>
      <c r="C128" s="614" t="s">
        <v>2220</v>
      </c>
      <c r="D128" s="1312" t="s">
        <v>2144</v>
      </c>
      <c r="E128" s="1313" t="s">
        <v>1776</v>
      </c>
      <c r="F128" s="1313" t="s">
        <v>1765</v>
      </c>
      <c r="G128" s="614"/>
      <c r="H128" s="1037" t="s">
        <v>1599</v>
      </c>
      <c r="I128" s="1038" t="s">
        <v>1606</v>
      </c>
      <c r="J128" s="1307" t="s">
        <v>2162</v>
      </c>
      <c r="K128" s="1037"/>
      <c r="L128" s="1026"/>
      <c r="M128" s="615">
        <v>0</v>
      </c>
      <c r="N128" s="616">
        <v>0</v>
      </c>
      <c r="O128" s="615">
        <v>600000</v>
      </c>
      <c r="P128" s="617"/>
      <c r="Q128" s="618">
        <v>600000</v>
      </c>
      <c r="R128" s="617"/>
    </row>
    <row r="129" spans="1:18" ht="11.25" customHeight="1" x14ac:dyDescent="0.25">
      <c r="A129" s="612" t="s">
        <v>2189</v>
      </c>
      <c r="B129" s="613" t="s">
        <v>2375</v>
      </c>
      <c r="C129" s="614" t="s">
        <v>2222</v>
      </c>
      <c r="D129" s="1312" t="s">
        <v>2144</v>
      </c>
      <c r="E129" s="1313" t="s">
        <v>1776</v>
      </c>
      <c r="F129" s="1313" t="s">
        <v>1765</v>
      </c>
      <c r="G129" s="614"/>
      <c r="H129" s="1037" t="s">
        <v>1599</v>
      </c>
      <c r="I129" s="1038" t="s">
        <v>1606</v>
      </c>
      <c r="J129" s="1307" t="s">
        <v>2162</v>
      </c>
      <c r="K129" s="1037"/>
      <c r="L129" s="1026"/>
      <c r="M129" s="615">
        <v>0</v>
      </c>
      <c r="N129" s="616">
        <v>0</v>
      </c>
      <c r="O129" s="615">
        <v>1400000</v>
      </c>
      <c r="P129" s="617"/>
      <c r="Q129" s="618">
        <v>1500000</v>
      </c>
      <c r="R129" s="617"/>
    </row>
    <row r="130" spans="1:18" ht="11.25" customHeight="1" x14ac:dyDescent="0.25">
      <c r="A130" s="612" t="s">
        <v>2189</v>
      </c>
      <c r="B130" s="613" t="s">
        <v>2376</v>
      </c>
      <c r="C130" s="614" t="s">
        <v>2248</v>
      </c>
      <c r="D130" s="1312" t="s">
        <v>2144</v>
      </c>
      <c r="E130" s="1313" t="s">
        <v>1776</v>
      </c>
      <c r="F130" s="1313" t="s">
        <v>1765</v>
      </c>
      <c r="G130" s="614"/>
      <c r="H130" s="1037" t="s">
        <v>1599</v>
      </c>
      <c r="I130" s="1038" t="s">
        <v>1606</v>
      </c>
      <c r="J130" s="1307" t="s">
        <v>2249</v>
      </c>
      <c r="K130" s="1037"/>
      <c r="L130" s="1026"/>
      <c r="M130" s="615">
        <v>0</v>
      </c>
      <c r="N130" s="616">
        <v>0</v>
      </c>
      <c r="O130" s="615">
        <v>1000000</v>
      </c>
      <c r="P130" s="617"/>
      <c r="Q130" s="618">
        <v>1000000</v>
      </c>
      <c r="R130" s="617"/>
    </row>
    <row r="131" spans="1:18" ht="11.25" customHeight="1" x14ac:dyDescent="0.25">
      <c r="A131" s="612" t="s">
        <v>2189</v>
      </c>
      <c r="B131" s="613" t="s">
        <v>2377</v>
      </c>
      <c r="C131" s="614"/>
      <c r="D131" s="1312" t="s">
        <v>2144</v>
      </c>
      <c r="E131" s="1313" t="s">
        <v>1776</v>
      </c>
      <c r="F131" s="1313" t="s">
        <v>1765</v>
      </c>
      <c r="G131" s="614"/>
      <c r="H131" s="1037" t="s">
        <v>1599</v>
      </c>
      <c r="I131" s="1038" t="s">
        <v>1606</v>
      </c>
      <c r="J131" s="1307" t="s">
        <v>2218</v>
      </c>
      <c r="K131" s="1037"/>
      <c r="L131" s="1026"/>
      <c r="M131" s="615">
        <v>0</v>
      </c>
      <c r="N131" s="616">
        <v>0</v>
      </c>
      <c r="O131" s="615">
        <v>0</v>
      </c>
      <c r="P131" s="617"/>
      <c r="Q131" s="618">
        <v>1000000</v>
      </c>
      <c r="R131" s="617"/>
    </row>
    <row r="132" spans="1:18" ht="11.25" customHeight="1" x14ac:dyDescent="0.25">
      <c r="A132" s="612" t="s">
        <v>2189</v>
      </c>
      <c r="B132" s="613" t="s">
        <v>2378</v>
      </c>
      <c r="C132" s="614"/>
      <c r="D132" s="1312" t="s">
        <v>2144</v>
      </c>
      <c r="E132" s="1313" t="s">
        <v>1776</v>
      </c>
      <c r="F132" s="1313" t="s">
        <v>1765</v>
      </c>
      <c r="G132" s="614"/>
      <c r="H132" s="1037" t="s">
        <v>1599</v>
      </c>
      <c r="I132" s="1038" t="s">
        <v>1606</v>
      </c>
      <c r="J132" s="1307" t="s">
        <v>2192</v>
      </c>
      <c r="K132" s="1037"/>
      <c r="L132" s="1026"/>
      <c r="M132" s="615">
        <v>0</v>
      </c>
      <c r="N132" s="616">
        <v>0</v>
      </c>
      <c r="O132" s="615">
        <v>0</v>
      </c>
      <c r="P132" s="617"/>
      <c r="Q132" s="618">
        <v>4000000</v>
      </c>
      <c r="R132" s="617"/>
    </row>
    <row r="133" spans="1:18" ht="11.25" customHeight="1" x14ac:dyDescent="0.25">
      <c r="A133" s="612" t="s">
        <v>2189</v>
      </c>
      <c r="B133" s="613" t="s">
        <v>2379</v>
      </c>
      <c r="C133" s="614"/>
      <c r="D133" s="1312" t="s">
        <v>2144</v>
      </c>
      <c r="E133" s="1313" t="s">
        <v>1776</v>
      </c>
      <c r="F133" s="1313" t="s">
        <v>1765</v>
      </c>
      <c r="G133" s="614"/>
      <c r="H133" s="1037" t="s">
        <v>1599</v>
      </c>
      <c r="I133" s="1038" t="s">
        <v>1606</v>
      </c>
      <c r="J133" s="1307" t="s">
        <v>2151</v>
      </c>
      <c r="K133" s="1037"/>
      <c r="L133" s="1026"/>
      <c r="M133" s="615">
        <v>0</v>
      </c>
      <c r="N133" s="616">
        <v>0</v>
      </c>
      <c r="O133" s="615">
        <v>0</v>
      </c>
      <c r="P133" s="617"/>
      <c r="Q133" s="618">
        <v>2000000</v>
      </c>
      <c r="R133" s="617"/>
    </row>
    <row r="134" spans="1:18" ht="11.25" customHeight="1" x14ac:dyDescent="0.25">
      <c r="A134" s="612" t="s">
        <v>2189</v>
      </c>
      <c r="B134" s="613" t="s">
        <v>2380</v>
      </c>
      <c r="C134" s="614"/>
      <c r="D134" s="1312" t="s">
        <v>2144</v>
      </c>
      <c r="E134" s="1313" t="s">
        <v>1776</v>
      </c>
      <c r="F134" s="1313" t="s">
        <v>1765</v>
      </c>
      <c r="G134" s="614"/>
      <c r="H134" s="1037" t="s">
        <v>1599</v>
      </c>
      <c r="I134" s="1038" t="s">
        <v>1606</v>
      </c>
      <c r="J134" s="1307" t="s">
        <v>2162</v>
      </c>
      <c r="K134" s="1037"/>
      <c r="L134" s="1026"/>
      <c r="M134" s="615">
        <v>0</v>
      </c>
      <c r="N134" s="616">
        <v>0</v>
      </c>
      <c r="O134" s="615">
        <v>0</v>
      </c>
      <c r="P134" s="617"/>
      <c r="Q134" s="618">
        <v>2900000</v>
      </c>
      <c r="R134" s="617"/>
    </row>
    <row r="135" spans="1:18" ht="11.25" customHeight="1" x14ac:dyDescent="0.25">
      <c r="A135" s="612" t="s">
        <v>2189</v>
      </c>
      <c r="B135" s="613" t="s">
        <v>2381</v>
      </c>
      <c r="C135" s="622"/>
      <c r="D135" s="1312" t="s">
        <v>2144</v>
      </c>
      <c r="E135" s="1313" t="s">
        <v>1776</v>
      </c>
      <c r="F135" s="1313" t="s">
        <v>1765</v>
      </c>
      <c r="G135" s="614"/>
      <c r="H135" s="1037" t="s">
        <v>1599</v>
      </c>
      <c r="I135" s="1038" t="s">
        <v>1606</v>
      </c>
      <c r="J135" s="1307" t="s">
        <v>2192</v>
      </c>
      <c r="K135" s="1037"/>
      <c r="L135" s="1026"/>
      <c r="M135" s="615">
        <v>0</v>
      </c>
      <c r="N135" s="616">
        <v>0</v>
      </c>
      <c r="O135" s="615">
        <v>0</v>
      </c>
      <c r="P135" s="617"/>
      <c r="Q135" s="618">
        <v>2000000</v>
      </c>
      <c r="R135" s="617"/>
    </row>
    <row r="136" spans="1:18" ht="11.25" customHeight="1" x14ac:dyDescent="0.25">
      <c r="A136" s="612" t="s">
        <v>2141</v>
      </c>
      <c r="B136" s="613" t="s">
        <v>2382</v>
      </c>
      <c r="C136" s="622" t="s">
        <v>2405</v>
      </c>
      <c r="D136" s="1312" t="s">
        <v>2171</v>
      </c>
      <c r="E136" s="1313" t="s">
        <v>1776</v>
      </c>
      <c r="F136" s="1313" t="s">
        <v>1763</v>
      </c>
      <c r="G136" s="614"/>
      <c r="H136" s="1037" t="s">
        <v>1662</v>
      </c>
      <c r="I136" s="1038" t="s">
        <v>1664</v>
      </c>
      <c r="J136" s="1307" t="s">
        <v>2175</v>
      </c>
      <c r="K136" s="1037"/>
      <c r="L136" s="1026"/>
      <c r="M136" s="615">
        <v>0</v>
      </c>
      <c r="N136" s="616">
        <v>0</v>
      </c>
      <c r="O136" s="615">
        <v>0</v>
      </c>
      <c r="P136" s="617"/>
      <c r="Q136" s="618">
        <v>6077608.6799999997</v>
      </c>
      <c r="R136" s="617"/>
    </row>
    <row r="137" spans="1:18" ht="11.25" customHeight="1" x14ac:dyDescent="0.25">
      <c r="A137" s="612"/>
      <c r="B137" s="613"/>
      <c r="C137" s="614"/>
      <c r="D137" s="1312"/>
      <c r="E137" s="1313"/>
      <c r="F137" s="1313"/>
      <c r="G137" s="614"/>
      <c r="H137" s="1037"/>
      <c r="I137" s="1038"/>
      <c r="J137" s="1307"/>
      <c r="K137" s="1037"/>
      <c r="L137" s="1026"/>
      <c r="M137" s="615"/>
      <c r="N137" s="616"/>
      <c r="O137" s="615"/>
      <c r="P137" s="617"/>
      <c r="Q137" s="618"/>
      <c r="R137" s="617"/>
    </row>
    <row r="138" spans="1:18" ht="11.25" customHeight="1" x14ac:dyDescent="0.25">
      <c r="A138" s="619"/>
      <c r="B138" s="613"/>
      <c r="C138" s="614"/>
      <c r="D138" s="1312"/>
      <c r="E138" s="1313"/>
      <c r="F138" s="1313"/>
      <c r="G138" s="614"/>
      <c r="H138" s="1037"/>
      <c r="I138" s="1038"/>
      <c r="J138" s="1307"/>
      <c r="K138" s="1037"/>
      <c r="L138" s="1026"/>
      <c r="M138" s="615"/>
      <c r="N138" s="616"/>
      <c r="O138" s="615"/>
      <c r="P138" s="617"/>
      <c r="Q138" s="618"/>
      <c r="R138" s="617"/>
    </row>
    <row r="139" spans="1:18" ht="11.25" customHeight="1" x14ac:dyDescent="0.25">
      <c r="A139" s="620"/>
      <c r="B139" s="621"/>
      <c r="C139" s="622"/>
      <c r="D139" s="1312"/>
      <c r="E139" s="1313"/>
      <c r="F139" s="1313"/>
      <c r="G139" s="614"/>
      <c r="H139" s="1037"/>
      <c r="I139" s="1038"/>
      <c r="J139" s="1307"/>
      <c r="K139" s="1037"/>
      <c r="L139" s="1026"/>
      <c r="M139" s="389"/>
      <c r="N139" s="388"/>
      <c r="O139" s="389"/>
      <c r="P139" s="110"/>
      <c r="Q139" s="130"/>
      <c r="R139" s="110"/>
    </row>
    <row r="140" spans="1:18" ht="11.25" customHeight="1" x14ac:dyDescent="0.25">
      <c r="A140" s="620"/>
      <c r="B140" s="621"/>
      <c r="C140" s="622"/>
      <c r="D140" s="1312"/>
      <c r="E140" s="1313"/>
      <c r="F140" s="1313"/>
      <c r="G140" s="614"/>
      <c r="H140" s="1037"/>
      <c r="I140" s="1038"/>
      <c r="J140" s="1307"/>
      <c r="K140" s="1037"/>
      <c r="L140" s="1026"/>
      <c r="M140" s="389"/>
      <c r="N140" s="388"/>
      <c r="O140" s="389"/>
      <c r="P140" s="110"/>
      <c r="Q140" s="130"/>
      <c r="R140" s="110"/>
    </row>
    <row r="141" spans="1:18" ht="11.25" customHeight="1" x14ac:dyDescent="0.25">
      <c r="A141" s="620"/>
      <c r="B141" s="621"/>
      <c r="C141" s="622"/>
      <c r="D141" s="1312"/>
      <c r="E141" s="1313"/>
      <c r="F141" s="1313"/>
      <c r="G141" s="614"/>
      <c r="H141" s="1037"/>
      <c r="I141" s="1038"/>
      <c r="J141" s="1307"/>
      <c r="K141" s="1037"/>
      <c r="L141" s="1026"/>
      <c r="M141" s="389"/>
      <c r="N141" s="388"/>
      <c r="O141" s="389"/>
      <c r="P141" s="110"/>
      <c r="Q141" s="130"/>
      <c r="R141" s="110"/>
    </row>
    <row r="142" spans="1:18" ht="11.25" customHeight="1" x14ac:dyDescent="0.25">
      <c r="A142" s="620"/>
      <c r="B142" s="621"/>
      <c r="C142" s="622"/>
      <c r="D142" s="1312"/>
      <c r="E142" s="1313"/>
      <c r="F142" s="1313"/>
      <c r="G142" s="614"/>
      <c r="H142" s="1037"/>
      <c r="I142" s="1038"/>
      <c r="J142" s="1307"/>
      <c r="K142" s="1037"/>
      <c r="L142" s="1026"/>
      <c r="M142" s="389"/>
      <c r="N142" s="388"/>
      <c r="O142" s="389"/>
      <c r="P142" s="110"/>
      <c r="Q142" s="130"/>
      <c r="R142" s="110"/>
    </row>
    <row r="143" spans="1:18" ht="11.25" customHeight="1" x14ac:dyDescent="0.25">
      <c r="A143" s="620"/>
      <c r="B143" s="621"/>
      <c r="C143" s="622"/>
      <c r="D143" s="1312"/>
      <c r="E143" s="1313"/>
      <c r="F143" s="1313"/>
      <c r="G143" s="614"/>
      <c r="H143" s="1037"/>
      <c r="I143" s="1038"/>
      <c r="J143" s="1307"/>
      <c r="K143" s="1037"/>
      <c r="L143" s="1026"/>
      <c r="M143" s="389"/>
      <c r="N143" s="388"/>
      <c r="O143" s="389"/>
      <c r="P143" s="110"/>
      <c r="Q143" s="130"/>
      <c r="R143" s="110"/>
    </row>
    <row r="144" spans="1:18" ht="11.25" customHeight="1" x14ac:dyDescent="0.25">
      <c r="A144" s="623"/>
      <c r="B144" s="624"/>
      <c r="C144" s="625"/>
      <c r="D144" s="1333"/>
      <c r="E144" s="1334"/>
      <c r="F144" s="1334"/>
      <c r="G144" s="1039"/>
      <c r="H144" s="1040"/>
      <c r="I144" s="1303"/>
      <c r="J144" s="1308"/>
      <c r="K144" s="1040"/>
      <c r="L144" s="1027"/>
      <c r="M144" s="489"/>
      <c r="N144" s="626"/>
      <c r="O144" s="489"/>
      <c r="P144" s="113"/>
      <c r="Q144" s="143"/>
      <c r="R144" s="113"/>
    </row>
    <row r="145" spans="1:18" ht="11.25" customHeight="1" x14ac:dyDescent="0.25">
      <c r="A145" s="627" t="s">
        <v>516</v>
      </c>
      <c r="B145" s="628"/>
      <c r="C145" s="629"/>
      <c r="D145" s="629"/>
      <c r="E145" s="629"/>
      <c r="F145" s="629"/>
      <c r="G145" s="629"/>
      <c r="H145" s="628"/>
      <c r="I145" s="1019"/>
      <c r="J145" s="1309"/>
      <c r="K145" s="628"/>
      <c r="L145" s="1028"/>
      <c r="M145" s="630"/>
      <c r="N145" s="465"/>
      <c r="O145" s="630"/>
      <c r="P145" s="235"/>
      <c r="Q145" s="127"/>
      <c r="R145" s="235"/>
    </row>
    <row r="146" spans="1:18" s="1331" customFormat="1" ht="11.25" customHeight="1" x14ac:dyDescent="0.25">
      <c r="A146" s="1324" t="s">
        <v>1789</v>
      </c>
      <c r="B146" s="1325"/>
      <c r="C146" s="1326"/>
      <c r="D146" s="1326"/>
      <c r="E146" s="1315"/>
      <c r="F146" s="1315"/>
      <c r="G146" s="1326"/>
      <c r="H146" s="1316"/>
      <c r="I146" s="1317"/>
      <c r="J146" s="1319"/>
      <c r="K146" s="1316"/>
      <c r="L146" s="1318"/>
      <c r="M146" s="1327"/>
      <c r="N146" s="1328"/>
      <c r="O146" s="1327"/>
      <c r="P146" s="1329"/>
      <c r="Q146" s="1330"/>
      <c r="R146" s="1329"/>
    </row>
    <row r="147" spans="1:18" ht="11.25" customHeight="1" x14ac:dyDescent="0.25">
      <c r="A147" s="631"/>
      <c r="B147" s="621"/>
      <c r="C147" s="622"/>
      <c r="D147" s="1312"/>
      <c r="E147" s="1313"/>
      <c r="F147" s="1313"/>
      <c r="G147" s="614"/>
      <c r="H147" s="1037"/>
      <c r="I147" s="1038"/>
      <c r="J147" s="1307"/>
      <c r="K147" s="1037"/>
      <c r="L147" s="1026"/>
      <c r="M147" s="389"/>
      <c r="N147" s="388"/>
      <c r="O147" s="389"/>
      <c r="P147" s="110"/>
      <c r="Q147" s="130"/>
      <c r="R147" s="110"/>
    </row>
    <row r="148" spans="1:18" ht="11.25" customHeight="1" x14ac:dyDescent="0.25">
      <c r="A148" s="822" t="s">
        <v>517</v>
      </c>
      <c r="B148" s="621"/>
      <c r="C148" s="622"/>
      <c r="D148" s="1312"/>
      <c r="E148" s="1313"/>
      <c r="F148" s="1313"/>
      <c r="G148" s="614"/>
      <c r="H148" s="1037"/>
      <c r="I148" s="1038"/>
      <c r="J148" s="1307"/>
      <c r="K148" s="1037"/>
      <c r="L148" s="1026"/>
      <c r="M148" s="389"/>
      <c r="N148" s="388"/>
      <c r="O148" s="389"/>
      <c r="P148" s="110"/>
      <c r="Q148" s="130"/>
      <c r="R148" s="110"/>
    </row>
    <row r="149" spans="1:18" ht="11.25" customHeight="1" x14ac:dyDescent="0.25">
      <c r="A149" s="612" t="s">
        <v>518</v>
      </c>
      <c r="B149" s="621"/>
      <c r="C149" s="622"/>
      <c r="D149" s="1312"/>
      <c r="E149" s="1313"/>
      <c r="F149" s="1313"/>
      <c r="G149" s="614"/>
      <c r="H149" s="1037"/>
      <c r="I149" s="1038"/>
      <c r="J149" s="1307"/>
      <c r="K149" s="1037"/>
      <c r="L149" s="1026"/>
      <c r="M149" s="389"/>
      <c r="N149" s="388"/>
      <c r="O149" s="389"/>
      <c r="P149" s="110"/>
      <c r="Q149" s="130"/>
      <c r="R149" s="110"/>
    </row>
    <row r="150" spans="1:18" ht="11.25" customHeight="1" x14ac:dyDescent="0.25">
      <c r="A150" s="631"/>
      <c r="B150" s="621"/>
      <c r="C150" s="622"/>
      <c r="D150" s="1312"/>
      <c r="E150" s="1313"/>
      <c r="F150" s="1313"/>
      <c r="G150" s="614"/>
      <c r="H150" s="1037"/>
      <c r="I150" s="1038"/>
      <c r="J150" s="1307"/>
      <c r="K150" s="1037"/>
      <c r="L150" s="1026"/>
      <c r="M150" s="389"/>
      <c r="N150" s="388"/>
      <c r="O150" s="389"/>
      <c r="P150" s="110"/>
      <c r="Q150" s="130"/>
      <c r="R150" s="110"/>
    </row>
    <row r="151" spans="1:18" ht="11.25" customHeight="1" x14ac:dyDescent="0.25">
      <c r="A151" s="620"/>
      <c r="B151" s="621"/>
      <c r="C151" s="622"/>
      <c r="D151" s="1312"/>
      <c r="E151" s="1313"/>
      <c r="F151" s="1313"/>
      <c r="G151" s="614"/>
      <c r="H151" s="1037"/>
      <c r="I151" s="1038"/>
      <c r="J151" s="1307"/>
      <c r="K151" s="1037"/>
      <c r="L151" s="1026"/>
      <c r="M151" s="389"/>
      <c r="N151" s="388"/>
      <c r="O151" s="389"/>
      <c r="P151" s="110"/>
      <c r="Q151" s="130"/>
      <c r="R151" s="110"/>
    </row>
    <row r="152" spans="1:18" ht="11.25" customHeight="1" x14ac:dyDescent="0.25">
      <c r="A152" s="620"/>
      <c r="B152" s="621"/>
      <c r="C152" s="622"/>
      <c r="D152" s="1312"/>
      <c r="E152" s="1313"/>
      <c r="F152" s="1313"/>
      <c r="G152" s="614"/>
      <c r="H152" s="1037"/>
      <c r="I152" s="1038"/>
      <c r="J152" s="1307"/>
      <c r="K152" s="1037"/>
      <c r="L152" s="1026"/>
      <c r="M152" s="389"/>
      <c r="N152" s="388"/>
      <c r="O152" s="389"/>
      <c r="P152" s="110"/>
      <c r="Q152" s="130"/>
      <c r="R152" s="110"/>
    </row>
    <row r="153" spans="1:18" ht="11.25" customHeight="1" x14ac:dyDescent="0.25">
      <c r="A153" s="632"/>
      <c r="B153" s="633"/>
      <c r="C153" s="634"/>
      <c r="D153" s="1335"/>
      <c r="E153" s="1336"/>
      <c r="F153" s="1336"/>
      <c r="G153" s="1041"/>
      <c r="H153" s="1042"/>
      <c r="I153" s="1304"/>
      <c r="J153" s="1310"/>
      <c r="K153" s="1042"/>
      <c r="L153" s="1029"/>
      <c r="M153" s="315"/>
      <c r="N153" s="635"/>
      <c r="O153" s="315"/>
      <c r="P153" s="317"/>
      <c r="Q153" s="323"/>
      <c r="R153" s="317"/>
    </row>
    <row r="154" spans="1:18" ht="11.25" customHeight="1" x14ac:dyDescent="0.25">
      <c r="A154" s="636" t="s">
        <v>519</v>
      </c>
      <c r="H154" s="48"/>
      <c r="I154" s="48"/>
      <c r="J154" s="48"/>
      <c r="K154" s="48"/>
      <c r="L154" s="48"/>
    </row>
    <row r="155" spans="1:18" ht="11.25" customHeight="1" x14ac:dyDescent="0.25">
      <c r="A155" s="637" t="s">
        <v>1790</v>
      </c>
    </row>
    <row r="156" spans="1:18" ht="11.25" customHeight="1" x14ac:dyDescent="0.25">
      <c r="A156" s="637" t="s">
        <v>1791</v>
      </c>
    </row>
    <row r="157" spans="1:18" ht="11.25" customHeight="1" x14ac:dyDescent="0.25">
      <c r="A157" s="5" t="s">
        <v>1792</v>
      </c>
    </row>
    <row r="158" spans="1:18" ht="11.25" customHeight="1" x14ac:dyDescent="0.25">
      <c r="A158" s="5" t="s">
        <v>1795</v>
      </c>
    </row>
    <row r="159" spans="1:18" ht="11.25" customHeight="1" x14ac:dyDescent="0.25">
      <c r="A159" s="5" t="s">
        <v>1794</v>
      </c>
    </row>
    <row r="160" spans="1:18" ht="11.25" customHeight="1" x14ac:dyDescent="0.25">
      <c r="A160" s="5" t="s">
        <v>1793</v>
      </c>
    </row>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70" ht="11.25" customHeight="1" x14ac:dyDescent="0.25"/>
    <row r="173" ht="11.25" customHeight="1" x14ac:dyDescent="0.25"/>
    <row r="174" ht="11.25" customHeight="1" x14ac:dyDescent="0.25"/>
    <row r="175" ht="11.25" customHeight="1" x14ac:dyDescent="0.25"/>
    <row r="176" ht="11.25" customHeight="1" x14ac:dyDescent="0.25"/>
    <row r="177" spans="2:2" ht="11.25" customHeight="1" x14ac:dyDescent="0.25"/>
    <row r="178" spans="2:2" ht="11.25" customHeight="1" x14ac:dyDescent="0.25"/>
    <row r="179" spans="2:2" ht="11.25" customHeight="1" x14ac:dyDescent="0.25"/>
    <row r="180" spans="2:2" ht="11.25" customHeight="1" x14ac:dyDescent="0.25"/>
    <row r="181" spans="2:2" ht="11.25" customHeight="1" x14ac:dyDescent="0.25"/>
    <row r="182" spans="2:2" ht="11.25" customHeight="1" x14ac:dyDescent="0.25"/>
    <row r="183" spans="2:2" ht="11.25" customHeight="1" x14ac:dyDescent="0.25"/>
    <row r="184" spans="2:2" ht="11.25" customHeight="1" x14ac:dyDescent="0.25"/>
    <row r="185" spans="2:2" ht="11.25" customHeight="1" x14ac:dyDescent="0.25">
      <c r="B185" s="128"/>
    </row>
    <row r="186" spans="2:2" ht="11.25" customHeight="1" x14ac:dyDescent="0.25"/>
    <row r="187" spans="2:2" ht="11.25" customHeight="1" x14ac:dyDescent="0.25"/>
    <row r="188" spans="2:2" ht="11.25" customHeight="1" x14ac:dyDescent="0.25"/>
    <row r="189" spans="2:2" ht="11.25" customHeight="1" x14ac:dyDescent="0.25"/>
    <row r="190" spans="2:2" ht="11.25" customHeight="1" x14ac:dyDescent="0.25"/>
    <row r="191" spans="2:2" ht="11.25" customHeight="1" x14ac:dyDescent="0.25"/>
    <row r="192" spans="2: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146:F146">
      <formula1>Y_N</formula1>
    </dataValidation>
    <dataValidation type="list" allowBlank="1" showInputMessage="1" showErrorMessage="1" promptTitle="Asset Class" prompt="Please select" sqref="H146:H153 H6:H144">
      <formula1>Asset_Class</formula1>
    </dataValidation>
    <dataValidation type="list" allowBlank="1" showInputMessage="1" showErrorMessage="1" promptTitle="Asset Sub-Class" prompt="Please select" sqref="I146:I153 I6:I144">
      <formula1>Asset_sub_class</formula1>
    </dataValidation>
    <dataValidation type="list" allowBlank="1" showInputMessage="1" showErrorMessage="1" promptTitle="Select MTSF Service Outcome" prompt="Select MTSF from list" sqref="E147:E153 E7:E144">
      <formula1>MTSF</formula1>
    </dataValidation>
    <dataValidation type="list" allowBlank="1" showInputMessage="1" showErrorMessage="1" promptTitle="Select IUDF" prompt="Select IUDF from list" sqref="F147:F153 F7:F144">
      <formula1>IUDF</formula1>
    </dataValidation>
    <dataValidation type="list" allowBlank="1" showInputMessage="1" showErrorMessage="1" sqref="D147:D153 D7:D144">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15" activePane="bottomRight" state="frozen"/>
      <selection activeCell="C6" sqref="C6"/>
      <selection pane="topRight" activeCell="C6" sqref="C6"/>
      <selection pane="bottomLeft" activeCell="C6" sqref="C6"/>
      <selection pane="bottomRight" activeCell="H15" sqref="H15"/>
    </sheetView>
  </sheetViews>
  <sheetFormatPr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45" t="str">
        <f>muni&amp;" - "&amp;ADJB20&amp;" - "&amp;Date</f>
        <v>LIM333 Greater Tzaneen - Supporting Table SB20 Not required - 27/02/2019</v>
      </c>
      <c r="B1" s="1445"/>
      <c r="C1" s="1445"/>
      <c r="D1" s="1445"/>
      <c r="E1" s="1445"/>
      <c r="F1" s="1445"/>
      <c r="G1" s="1445"/>
      <c r="H1" s="1445"/>
      <c r="I1" s="1445"/>
      <c r="J1" s="1445"/>
      <c r="K1" s="1445"/>
      <c r="L1" s="1445"/>
      <c r="M1" s="1445"/>
    </row>
    <row r="2" spans="1:13" ht="38.25" x14ac:dyDescent="0.25">
      <c r="A2" s="1393" t="str">
        <f>desc</f>
        <v>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3" ht="25.5" x14ac:dyDescent="0.25">
      <c r="A3" s="1394"/>
      <c r="B3" s="1394"/>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94"/>
      <c r="B4" s="1394"/>
      <c r="C4" s="14"/>
      <c r="D4" s="15">
        <v>3</v>
      </c>
      <c r="E4" s="15">
        <v>4</v>
      </c>
      <c r="F4" s="15">
        <v>5</v>
      </c>
      <c r="G4" s="15">
        <v>6</v>
      </c>
      <c r="H4" s="15">
        <v>8</v>
      </c>
      <c r="I4" s="15">
        <v>9</v>
      </c>
      <c r="J4" s="16">
        <v>10</v>
      </c>
      <c r="K4" s="16">
        <v>11</v>
      </c>
      <c r="L4" s="16"/>
      <c r="M4" s="17"/>
    </row>
    <row r="5" spans="1:13" x14ac:dyDescent="0.25">
      <c r="A5" s="66" t="s">
        <v>605</v>
      </c>
      <c r="B5" s="154"/>
      <c r="C5" s="482" t="s">
        <v>548</v>
      </c>
      <c r="D5" s="68" t="s">
        <v>549</v>
      </c>
      <c r="E5" s="68" t="s">
        <v>550</v>
      </c>
      <c r="F5" s="69" t="s">
        <v>551</v>
      </c>
      <c r="G5" s="69" t="s">
        <v>552</v>
      </c>
      <c r="H5" s="69" t="s">
        <v>553</v>
      </c>
      <c r="I5" s="70" t="s">
        <v>554</v>
      </c>
      <c r="J5" s="512" t="s">
        <v>555</v>
      </c>
      <c r="K5" s="512" t="s">
        <v>556</v>
      </c>
      <c r="L5" s="512"/>
      <c r="M5" s="71"/>
    </row>
    <row r="6" spans="1:13" ht="12.75" customHeight="1" x14ac:dyDescent="0.25">
      <c r="A6" s="126" t="s">
        <v>520</v>
      </c>
      <c r="B6" s="73"/>
      <c r="C6" s="74"/>
      <c r="D6" s="75"/>
      <c r="E6" s="75"/>
      <c r="F6" s="75"/>
      <c r="G6" s="75"/>
      <c r="H6" s="75"/>
      <c r="I6" s="75"/>
      <c r="J6" s="515"/>
      <c r="K6" s="515"/>
      <c r="L6" s="515"/>
      <c r="M6" s="76"/>
    </row>
    <row r="7" spans="1:13" ht="12.75" customHeight="1" x14ac:dyDescent="0.25">
      <c r="A7" s="484" t="s">
        <v>521</v>
      </c>
      <c r="B7" s="73"/>
      <c r="C7" s="130">
        <v>7860418</v>
      </c>
      <c r="D7" s="109"/>
      <c r="E7" s="109"/>
      <c r="F7" s="109"/>
      <c r="G7" s="109"/>
      <c r="H7" s="109"/>
      <c r="I7" s="109">
        <v>3875000</v>
      </c>
      <c r="J7" s="515">
        <f t="shared" ref="J7:J16" si="0">SUM(E7:I7)</f>
        <v>3875000</v>
      </c>
      <c r="K7" s="515">
        <f t="shared" ref="K7:K16" si="1">IF(D7=0,C7+J7,D7+J7)</f>
        <v>11735418</v>
      </c>
      <c r="L7" s="388">
        <v>8646460</v>
      </c>
      <c r="M7" s="110">
        <v>9511106</v>
      </c>
    </row>
    <row r="8" spans="1:13" ht="12.75" customHeight="1" x14ac:dyDescent="0.25">
      <c r="A8" s="484" t="s">
        <v>522</v>
      </c>
      <c r="B8" s="73"/>
      <c r="C8" s="130"/>
      <c r="D8" s="109"/>
      <c r="E8" s="109"/>
      <c r="F8" s="109"/>
      <c r="G8" s="109"/>
      <c r="H8" s="109"/>
      <c r="I8" s="109"/>
      <c r="J8" s="515">
        <f t="shared" si="0"/>
        <v>0</v>
      </c>
      <c r="K8" s="515">
        <f t="shared" si="1"/>
        <v>0</v>
      </c>
      <c r="L8" s="388"/>
      <c r="M8" s="110"/>
    </row>
    <row r="9" spans="1:13" ht="12.75" customHeight="1" x14ac:dyDescent="0.25">
      <c r="A9" s="484" t="s">
        <v>523</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524</v>
      </c>
      <c r="B17" s="79">
        <v>1</v>
      </c>
      <c r="C17" s="80">
        <f t="shared" ref="C17:M17" si="2">SUM(C7:C16)</f>
        <v>7860418</v>
      </c>
      <c r="D17" s="81">
        <f t="shared" si="2"/>
        <v>0</v>
      </c>
      <c r="E17" s="81">
        <f t="shared" si="2"/>
        <v>0</v>
      </c>
      <c r="F17" s="81">
        <f t="shared" si="2"/>
        <v>0</v>
      </c>
      <c r="G17" s="81">
        <f t="shared" si="2"/>
        <v>0</v>
      </c>
      <c r="H17" s="81">
        <f t="shared" si="2"/>
        <v>0</v>
      </c>
      <c r="I17" s="81">
        <f t="shared" si="2"/>
        <v>3875000</v>
      </c>
      <c r="J17" s="526">
        <f t="shared" si="2"/>
        <v>3875000</v>
      </c>
      <c r="K17" s="526">
        <f t="shared" si="2"/>
        <v>11735418</v>
      </c>
      <c r="L17" s="526">
        <f t="shared" si="2"/>
        <v>8646460</v>
      </c>
      <c r="M17" s="82">
        <f t="shared" si="2"/>
        <v>9511106</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525</v>
      </c>
      <c r="B19" s="115"/>
      <c r="C19" s="74"/>
      <c r="D19" s="75"/>
      <c r="E19" s="75"/>
      <c r="F19" s="75"/>
      <c r="G19" s="75"/>
      <c r="H19" s="75"/>
      <c r="I19" s="75"/>
      <c r="J19" s="515"/>
      <c r="K19" s="515"/>
      <c r="L19" s="515"/>
      <c r="M19" s="76"/>
    </row>
    <row r="20" spans="1:13" ht="12.75" customHeight="1" x14ac:dyDescent="0.25">
      <c r="A20" s="484" t="s">
        <v>526</v>
      </c>
      <c r="B20" s="640"/>
      <c r="C20" s="130">
        <v>7860418</v>
      </c>
      <c r="D20" s="109"/>
      <c r="E20" s="109"/>
      <c r="F20" s="109"/>
      <c r="G20" s="109"/>
      <c r="H20" s="109"/>
      <c r="I20" s="109">
        <v>3875000</v>
      </c>
      <c r="J20" s="515">
        <f t="shared" ref="J20:J29" si="3">SUM(E20:I20)</f>
        <v>3875000</v>
      </c>
      <c r="K20" s="515">
        <f t="shared" ref="K20:K29" si="4">IF(D20=0,C20+J20,D20+J20)</f>
        <v>11735418</v>
      </c>
      <c r="L20" s="388">
        <v>8646460</v>
      </c>
      <c r="M20" s="110">
        <v>9511106</v>
      </c>
    </row>
    <row r="21" spans="1:13" ht="12.75" customHeight="1" x14ac:dyDescent="0.25">
      <c r="A21" s="484" t="s">
        <v>527</v>
      </c>
      <c r="B21" s="640"/>
      <c r="C21" s="130"/>
      <c r="D21" s="109"/>
      <c r="E21" s="109"/>
      <c r="F21" s="109"/>
      <c r="G21" s="109"/>
      <c r="H21" s="109"/>
      <c r="I21" s="109"/>
      <c r="J21" s="515">
        <f t="shared" si="3"/>
        <v>0</v>
      </c>
      <c r="K21" s="515">
        <f t="shared" si="4"/>
        <v>0</v>
      </c>
      <c r="L21" s="388"/>
      <c r="M21" s="110"/>
    </row>
    <row r="22" spans="1:13" ht="12.75" customHeight="1" x14ac:dyDescent="0.25">
      <c r="A22" s="484" t="s">
        <v>528</v>
      </c>
      <c r="B22" s="640"/>
      <c r="C22" s="130"/>
      <c r="D22" s="109"/>
      <c r="E22" s="109"/>
      <c r="F22" s="109"/>
      <c r="G22" s="109"/>
      <c r="H22" s="109"/>
      <c r="I22" s="109"/>
      <c r="J22" s="515">
        <f t="shared" si="3"/>
        <v>0</v>
      </c>
      <c r="K22" s="515">
        <f t="shared" si="4"/>
        <v>0</v>
      </c>
      <c r="L22" s="388"/>
      <c r="M22" s="110"/>
    </row>
    <row r="23" spans="1:13" ht="12.75" customHeight="1" x14ac:dyDescent="0.25">
      <c r="A23" s="484"/>
      <c r="B23" s="640"/>
      <c r="C23" s="130"/>
      <c r="D23" s="109"/>
      <c r="E23" s="109"/>
      <c r="F23" s="109"/>
      <c r="G23" s="109"/>
      <c r="H23" s="109"/>
      <c r="I23" s="109"/>
      <c r="J23" s="515">
        <f t="shared" si="3"/>
        <v>0</v>
      </c>
      <c r="K23" s="515">
        <f t="shared" si="4"/>
        <v>0</v>
      </c>
      <c r="L23" s="388"/>
      <c r="M23" s="110"/>
    </row>
    <row r="24" spans="1:13" ht="12.75" customHeight="1" x14ac:dyDescent="0.25">
      <c r="A24" s="484"/>
      <c r="B24" s="640"/>
      <c r="C24" s="130"/>
      <c r="D24" s="109"/>
      <c r="E24" s="109"/>
      <c r="F24" s="109"/>
      <c r="G24" s="109"/>
      <c r="H24" s="109"/>
      <c r="I24" s="109"/>
      <c r="J24" s="515">
        <f t="shared" si="3"/>
        <v>0</v>
      </c>
      <c r="K24" s="515">
        <f t="shared" si="4"/>
        <v>0</v>
      </c>
      <c r="L24" s="388"/>
      <c r="M24" s="110"/>
    </row>
    <row r="25" spans="1:13" ht="12.75" customHeight="1" x14ac:dyDescent="0.25">
      <c r="A25" s="484"/>
      <c r="B25" s="640"/>
      <c r="C25" s="130"/>
      <c r="D25" s="109"/>
      <c r="E25" s="109"/>
      <c r="F25" s="109"/>
      <c r="G25" s="109"/>
      <c r="H25" s="109"/>
      <c r="I25" s="109"/>
      <c r="J25" s="515">
        <f t="shared" si="3"/>
        <v>0</v>
      </c>
      <c r="K25" s="515">
        <f t="shared" si="4"/>
        <v>0</v>
      </c>
      <c r="L25" s="388"/>
      <c r="M25" s="110"/>
    </row>
    <row r="26" spans="1:13" ht="12.75" customHeight="1" x14ac:dyDescent="0.25">
      <c r="A26" s="484"/>
      <c r="B26" s="640"/>
      <c r="C26" s="130"/>
      <c r="D26" s="109"/>
      <c r="E26" s="109"/>
      <c r="F26" s="109"/>
      <c r="G26" s="109"/>
      <c r="H26" s="109"/>
      <c r="I26" s="109"/>
      <c r="J26" s="515">
        <f t="shared" si="3"/>
        <v>0</v>
      </c>
      <c r="K26" s="515">
        <f t="shared" si="4"/>
        <v>0</v>
      </c>
      <c r="L26" s="388"/>
      <c r="M26" s="110"/>
    </row>
    <row r="27" spans="1:13" ht="12.75" customHeight="1" x14ac:dyDescent="0.25">
      <c r="A27" s="484"/>
      <c r="B27" s="640"/>
      <c r="C27" s="130"/>
      <c r="D27" s="109"/>
      <c r="E27" s="109"/>
      <c r="F27" s="109"/>
      <c r="G27" s="109"/>
      <c r="H27" s="109"/>
      <c r="I27" s="109"/>
      <c r="J27" s="515">
        <f t="shared" si="3"/>
        <v>0</v>
      </c>
      <c r="K27" s="515">
        <f t="shared" si="4"/>
        <v>0</v>
      </c>
      <c r="L27" s="388"/>
      <c r="M27" s="110"/>
    </row>
    <row r="28" spans="1:13" ht="12.75" customHeight="1" x14ac:dyDescent="0.25">
      <c r="A28" s="484"/>
      <c r="B28" s="640"/>
      <c r="C28" s="130"/>
      <c r="D28" s="109"/>
      <c r="E28" s="109"/>
      <c r="F28" s="109"/>
      <c r="G28" s="109"/>
      <c r="H28" s="109"/>
      <c r="I28" s="109"/>
      <c r="J28" s="515">
        <f t="shared" si="3"/>
        <v>0</v>
      </c>
      <c r="K28" s="515">
        <f t="shared" si="4"/>
        <v>0</v>
      </c>
      <c r="L28" s="388"/>
      <c r="M28" s="110"/>
    </row>
    <row r="29" spans="1:13" ht="12.75" customHeight="1" x14ac:dyDescent="0.25">
      <c r="A29" s="484"/>
      <c r="B29" s="640"/>
      <c r="C29" s="130"/>
      <c r="D29" s="109"/>
      <c r="E29" s="109"/>
      <c r="F29" s="109"/>
      <c r="G29" s="109"/>
      <c r="H29" s="109"/>
      <c r="I29" s="109"/>
      <c r="J29" s="515">
        <f t="shared" si="3"/>
        <v>0</v>
      </c>
      <c r="K29" s="515">
        <f t="shared" si="4"/>
        <v>0</v>
      </c>
      <c r="L29" s="388"/>
      <c r="M29" s="110"/>
    </row>
    <row r="30" spans="1:13" ht="12.75" customHeight="1" x14ac:dyDescent="0.25">
      <c r="A30" s="162" t="s">
        <v>529</v>
      </c>
      <c r="B30" s="79">
        <v>2</v>
      </c>
      <c r="C30" s="80">
        <f t="shared" ref="C30:M30" si="5">SUM(C20:C29)</f>
        <v>7860418</v>
      </c>
      <c r="D30" s="81">
        <f t="shared" si="5"/>
        <v>0</v>
      </c>
      <c r="E30" s="81">
        <f t="shared" si="5"/>
        <v>0</v>
      </c>
      <c r="F30" s="81">
        <f t="shared" si="5"/>
        <v>0</v>
      </c>
      <c r="G30" s="81">
        <f t="shared" si="5"/>
        <v>0</v>
      </c>
      <c r="H30" s="81">
        <f t="shared" si="5"/>
        <v>0</v>
      </c>
      <c r="I30" s="81">
        <f t="shared" si="5"/>
        <v>3875000</v>
      </c>
      <c r="J30" s="526">
        <f t="shared" si="5"/>
        <v>3875000</v>
      </c>
      <c r="K30" s="526">
        <f t="shared" si="5"/>
        <v>11735418</v>
      </c>
      <c r="L30" s="526">
        <f t="shared" si="5"/>
        <v>8646460</v>
      </c>
      <c r="M30" s="82">
        <f t="shared" si="5"/>
        <v>9511106</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530</v>
      </c>
      <c r="B32" s="137"/>
      <c r="C32" s="74"/>
      <c r="D32" s="75"/>
      <c r="E32" s="75"/>
      <c r="F32" s="75"/>
      <c r="G32" s="75"/>
      <c r="H32" s="75"/>
      <c r="I32" s="75"/>
      <c r="J32" s="515"/>
      <c r="K32" s="515"/>
      <c r="L32" s="515"/>
      <c r="M32" s="76"/>
    </row>
    <row r="33" spans="1:13" ht="12.75" customHeight="1" x14ac:dyDescent="0.25">
      <c r="A33" s="484" t="s">
        <v>531</v>
      </c>
      <c r="B33" s="137"/>
      <c r="C33" s="130">
        <v>235000</v>
      </c>
      <c r="D33" s="109"/>
      <c r="E33" s="109"/>
      <c r="F33" s="109"/>
      <c r="G33" s="109"/>
      <c r="H33" s="109"/>
      <c r="I33" s="109"/>
      <c r="J33" s="515">
        <f t="shared" ref="J33:J42" si="6">SUM(E33:I33)</f>
        <v>0</v>
      </c>
      <c r="K33" s="515">
        <f t="shared" ref="K33:K42" si="7">IF(D33=0,C33+J33,D33+J33)</f>
        <v>235000</v>
      </c>
      <c r="L33" s="388">
        <v>235000</v>
      </c>
      <c r="M33" s="110">
        <v>235000</v>
      </c>
    </row>
    <row r="34" spans="1:13" ht="12.75" customHeight="1" x14ac:dyDescent="0.25">
      <c r="A34" s="484" t="s">
        <v>532</v>
      </c>
      <c r="B34" s="137"/>
      <c r="C34" s="130"/>
      <c r="D34" s="109"/>
      <c r="E34" s="109"/>
      <c r="F34" s="109"/>
      <c r="G34" s="109"/>
      <c r="H34" s="109"/>
      <c r="I34" s="109"/>
      <c r="J34" s="515">
        <f t="shared" si="6"/>
        <v>0</v>
      </c>
      <c r="K34" s="515">
        <f t="shared" si="7"/>
        <v>0</v>
      </c>
      <c r="L34" s="388"/>
      <c r="M34" s="110"/>
    </row>
    <row r="35" spans="1:13" ht="12.75" customHeight="1" x14ac:dyDescent="0.25">
      <c r="A35" s="484" t="s">
        <v>533</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473</v>
      </c>
      <c r="B43" s="156">
        <v>2</v>
      </c>
      <c r="C43" s="157">
        <f t="shared" ref="C43:M43" si="8">SUM(C32:C42)</f>
        <v>235000</v>
      </c>
      <c r="D43" s="117">
        <f t="shared" si="8"/>
        <v>0</v>
      </c>
      <c r="E43" s="117">
        <f t="shared" si="8"/>
        <v>0</v>
      </c>
      <c r="F43" s="117">
        <f t="shared" si="8"/>
        <v>0</v>
      </c>
      <c r="G43" s="117">
        <f t="shared" si="8"/>
        <v>0</v>
      </c>
      <c r="H43" s="117">
        <f t="shared" si="8"/>
        <v>0</v>
      </c>
      <c r="I43" s="117">
        <f t="shared" si="8"/>
        <v>0</v>
      </c>
      <c r="J43" s="529">
        <f t="shared" si="8"/>
        <v>0</v>
      </c>
      <c r="K43" s="529">
        <f t="shared" si="8"/>
        <v>235000</v>
      </c>
      <c r="L43" s="529">
        <f t="shared" si="8"/>
        <v>235000</v>
      </c>
      <c r="M43" s="118">
        <f t="shared" si="8"/>
        <v>235000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534</v>
      </c>
      <c r="B45" s="93"/>
      <c r="C45" s="96"/>
      <c r="D45" s="96"/>
      <c r="E45" s="96"/>
      <c r="F45" s="96"/>
      <c r="G45" s="96"/>
      <c r="H45" s="96"/>
      <c r="I45" s="96"/>
      <c r="J45" s="96"/>
      <c r="K45" s="96"/>
      <c r="L45" s="96"/>
      <c r="M45" s="96"/>
    </row>
    <row r="46" spans="1:13" ht="12.75" customHeight="1" x14ac:dyDescent="0.25">
      <c r="A46" s="99" t="s">
        <v>535</v>
      </c>
      <c r="B46" s="93"/>
      <c r="C46" s="96"/>
      <c r="D46" s="96"/>
      <c r="E46" s="96"/>
      <c r="F46" s="96"/>
      <c r="G46" s="96"/>
      <c r="H46" s="96"/>
      <c r="I46" s="96"/>
      <c r="J46" s="96"/>
      <c r="K46" s="96"/>
      <c r="L46" s="96"/>
      <c r="M46" s="96"/>
    </row>
    <row r="47" spans="1:13" ht="12.75" customHeight="1" x14ac:dyDescent="0.25">
      <c r="A47" s="1389" t="s">
        <v>994</v>
      </c>
      <c r="B47" s="1389"/>
      <c r="C47" s="1389"/>
      <c r="D47" s="1389"/>
      <c r="E47" s="1389"/>
      <c r="F47" s="1389"/>
      <c r="G47" s="1389"/>
      <c r="H47" s="1389"/>
      <c r="I47" s="1389"/>
      <c r="J47" s="1389"/>
      <c r="K47" s="1389"/>
      <c r="L47" s="1389"/>
      <c r="M47" s="1389"/>
    </row>
    <row r="48" spans="1:13" ht="12.75" customHeight="1" x14ac:dyDescent="0.25">
      <c r="A48" s="1389" t="s">
        <v>536</v>
      </c>
      <c r="B48" s="1389"/>
      <c r="C48" s="1389"/>
      <c r="D48" s="1389"/>
      <c r="E48" s="1389"/>
      <c r="F48" s="1389"/>
      <c r="G48" s="1389"/>
      <c r="H48" s="1389"/>
      <c r="I48" s="1389"/>
      <c r="J48" s="1389"/>
      <c r="K48" s="1389"/>
      <c r="L48" s="1389"/>
      <c r="M48" s="1389"/>
    </row>
    <row r="49" spans="1:13" ht="12.75" customHeight="1" x14ac:dyDescent="0.25">
      <c r="A49" s="1389" t="s">
        <v>537</v>
      </c>
      <c r="B49" s="1389"/>
      <c r="C49" s="1389"/>
      <c r="D49" s="1389"/>
      <c r="E49" s="1389"/>
      <c r="F49" s="1389"/>
      <c r="G49" s="1389"/>
      <c r="H49" s="1389"/>
      <c r="I49" s="1389"/>
      <c r="J49" s="1389"/>
      <c r="K49" s="1389"/>
      <c r="L49" s="1389"/>
      <c r="M49" s="1389"/>
    </row>
    <row r="50" spans="1:13" ht="12.75" customHeight="1" x14ac:dyDescent="0.25">
      <c r="A50" s="1389" t="s">
        <v>538</v>
      </c>
      <c r="B50" s="1389"/>
      <c r="C50" s="1389"/>
      <c r="D50" s="1389"/>
      <c r="E50" s="1389"/>
      <c r="F50" s="1389"/>
      <c r="G50" s="1389"/>
      <c r="H50" s="1389"/>
      <c r="I50" s="1389"/>
      <c r="J50" s="1389"/>
      <c r="K50" s="1389"/>
      <c r="L50" s="1389"/>
      <c r="M50" s="1389"/>
    </row>
    <row r="51" spans="1:13" ht="12.75" customHeight="1" x14ac:dyDescent="0.25">
      <c r="A51" s="95" t="s">
        <v>539</v>
      </c>
      <c r="B51" s="93"/>
      <c r="C51" s="96"/>
      <c r="D51" s="96"/>
      <c r="E51" s="96"/>
      <c r="F51" s="96"/>
      <c r="G51" s="96"/>
      <c r="H51" s="96"/>
      <c r="I51" s="96"/>
      <c r="J51" s="96"/>
      <c r="K51" s="96"/>
      <c r="L51" s="96"/>
      <c r="M51" s="96"/>
    </row>
    <row r="52" spans="1:13" ht="12.75" customHeight="1" x14ac:dyDescent="0.25">
      <c r="A52" s="99" t="s">
        <v>540</v>
      </c>
      <c r="B52" s="93"/>
      <c r="C52" s="96"/>
      <c r="D52" s="96"/>
      <c r="E52" s="96"/>
      <c r="F52" s="96"/>
      <c r="G52" s="96"/>
      <c r="H52" s="96"/>
      <c r="I52" s="96"/>
      <c r="J52" s="96"/>
      <c r="K52" s="96"/>
      <c r="L52" s="96"/>
      <c r="M52" s="96"/>
    </row>
    <row r="53" spans="1:13" ht="12.75" customHeight="1" x14ac:dyDescent="0.25">
      <c r="A53" s="1389" t="s">
        <v>541</v>
      </c>
      <c r="B53" s="1389"/>
      <c r="C53" s="1389"/>
      <c r="D53" s="1389"/>
      <c r="E53" s="1389"/>
      <c r="F53" s="1389"/>
      <c r="G53" s="1389"/>
      <c r="H53" s="1389"/>
      <c r="I53" s="1389"/>
      <c r="J53" s="1389"/>
      <c r="K53" s="1389"/>
      <c r="L53" s="1389"/>
      <c r="M53" s="1389"/>
    </row>
    <row r="54" spans="1:13" ht="12.75" customHeight="1" x14ac:dyDescent="0.25">
      <c r="A54" s="99" t="s">
        <v>542</v>
      </c>
      <c r="B54" s="93"/>
      <c r="C54" s="96"/>
      <c r="D54" s="96"/>
      <c r="E54" s="96"/>
      <c r="F54" s="96"/>
      <c r="G54" s="96"/>
      <c r="H54" s="96"/>
      <c r="I54" s="96"/>
      <c r="J54" s="96"/>
      <c r="K54" s="96"/>
      <c r="L54" s="96"/>
      <c r="M54" s="96"/>
    </row>
    <row r="55" spans="1:13" ht="12.75" customHeight="1" x14ac:dyDescent="0.25">
      <c r="A55" s="100" t="s">
        <v>543</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92" sqref="E92"/>
    </sheetView>
  </sheetViews>
  <sheetFormatPr defaultRowHeight="11.25" x14ac:dyDescent="0.2"/>
  <cols>
    <col min="1" max="1" width="37.42578125" style="926" customWidth="1"/>
    <col min="2" max="2" width="7.7109375" style="934" customWidth="1"/>
    <col min="3" max="3" width="47.7109375" style="935" customWidth="1"/>
    <col min="4" max="4" width="20" style="926" hidden="1" customWidth="1"/>
    <col min="5" max="5" width="43.42578125" style="926" customWidth="1"/>
    <col min="6" max="16384" width="9.140625" style="926"/>
  </cols>
  <sheetData>
    <row r="1" spans="1:5" ht="35.25" customHeight="1" x14ac:dyDescent="0.2">
      <c r="A1" s="923" t="s">
        <v>1315</v>
      </c>
      <c r="B1" s="924"/>
      <c r="C1" s="925" t="s">
        <v>1316</v>
      </c>
      <c r="E1" s="923" t="s">
        <v>1317</v>
      </c>
    </row>
    <row r="2" spans="1:5" x14ac:dyDescent="0.2">
      <c r="A2" s="926" t="str">
        <f>B2&amp;" - "&amp;C2</f>
        <v>Vote 1 - Municipal Manager</v>
      </c>
      <c r="B2" s="927" t="s">
        <v>678</v>
      </c>
      <c r="C2" s="928" t="s">
        <v>1820</v>
      </c>
      <c r="E2" s="929"/>
    </row>
    <row r="3" spans="1:5" x14ac:dyDescent="0.2">
      <c r="A3" s="926" t="str">
        <f>B13&amp;" - "&amp; C13</f>
        <v>Vote 2 - Planning &amp; Economic Development</v>
      </c>
      <c r="B3" s="930">
        <v>1.1000000000000001</v>
      </c>
      <c r="C3" s="931" t="s">
        <v>1821</v>
      </c>
      <c r="D3" s="926" t="str">
        <f t="shared" ref="D3:D12" si="0">CONCATENATE(B3, " - ", C3)</f>
        <v>1.1 - Administration Municipal Manager</v>
      </c>
      <c r="E3" s="932" t="s">
        <v>1824</v>
      </c>
    </row>
    <row r="4" spans="1:5" x14ac:dyDescent="0.2">
      <c r="A4" s="926" t="str">
        <f>B24&amp;" - "&amp;C24</f>
        <v>Vote 3 - Financial Services</v>
      </c>
      <c r="B4" s="930">
        <v>1.2</v>
      </c>
      <c r="C4" s="931" t="s">
        <v>1822</v>
      </c>
      <c r="D4" s="926" t="str">
        <f t="shared" si="0"/>
        <v>1.2 - Internal Audit</v>
      </c>
      <c r="E4" s="932" t="s">
        <v>1825</v>
      </c>
    </row>
    <row r="5" spans="1:5" x14ac:dyDescent="0.2">
      <c r="A5" s="926" t="str">
        <f>B35&amp;" - "&amp;C35</f>
        <v>Vote 4 - Corporate Services</v>
      </c>
      <c r="B5" s="930">
        <v>1.3</v>
      </c>
      <c r="C5" s="931" t="s">
        <v>1523</v>
      </c>
      <c r="D5" s="926" t="str">
        <f t="shared" si="0"/>
        <v>1.3 - Disaster Management</v>
      </c>
      <c r="E5" s="932" t="s">
        <v>1827</v>
      </c>
    </row>
    <row r="6" spans="1:5" x14ac:dyDescent="0.2">
      <c r="A6" s="926" t="str">
        <f>B46&amp;" - "&amp;C46</f>
        <v>Vote 5 - Community Services</v>
      </c>
      <c r="B6" s="930">
        <v>1.4</v>
      </c>
      <c r="C6" s="931" t="s">
        <v>1823</v>
      </c>
      <c r="D6" s="926" t="str">
        <f t="shared" si="0"/>
        <v>1.4 - Strategic Support</v>
      </c>
      <c r="E6" s="932" t="s">
        <v>1828</v>
      </c>
    </row>
    <row r="7" spans="1:5" x14ac:dyDescent="0.2">
      <c r="A7" s="926" t="str">
        <f>B57&amp;" - "&amp;C57</f>
        <v>Vote 6 - Community Services</v>
      </c>
      <c r="B7" s="930">
        <v>1.5</v>
      </c>
      <c r="C7" s="931" t="s">
        <v>1512</v>
      </c>
      <c r="D7" s="926" t="str">
        <f t="shared" si="0"/>
        <v>1.5 - Risk Management</v>
      </c>
      <c r="E7" s="932" t="s">
        <v>1826</v>
      </c>
    </row>
    <row r="8" spans="1:5" x14ac:dyDescent="0.2">
      <c r="A8" s="926" t="str">
        <f>B68&amp;" - "&amp;C68</f>
        <v>Vote 7 - Electrical Engineering Services</v>
      </c>
      <c r="B8" s="930">
        <v>1.6</v>
      </c>
      <c r="C8" s="931" t="s">
        <v>1510</v>
      </c>
      <c r="D8" s="926" t="str">
        <f t="shared" si="0"/>
        <v>1.6 - Legal Services</v>
      </c>
      <c r="E8" s="932" t="s">
        <v>1829</v>
      </c>
    </row>
    <row r="9" spans="1:5" x14ac:dyDescent="0.2">
      <c r="A9" s="926" t="str">
        <f>B79&amp;" - "&amp;C79</f>
        <v>Vote 8 - Engineering Services</v>
      </c>
      <c r="B9" s="930">
        <v>1.7</v>
      </c>
      <c r="C9" s="931" t="s">
        <v>1318</v>
      </c>
      <c r="D9" s="926" t="str">
        <f t="shared" si="0"/>
        <v>1.7 - [Name of sub-vote]</v>
      </c>
      <c r="E9" s="932"/>
    </row>
    <row r="10" spans="1:5" x14ac:dyDescent="0.2">
      <c r="A10" s="926" t="str">
        <f>B90&amp;" - "&amp;C90</f>
        <v>Vote 9 - [NAME OF VOTE 9]</v>
      </c>
      <c r="B10" s="930">
        <v>1.8</v>
      </c>
      <c r="C10" s="931" t="s">
        <v>1318</v>
      </c>
      <c r="D10" s="926" t="str">
        <f t="shared" si="0"/>
        <v>1.8 - [Name of sub-vote]</v>
      </c>
      <c r="E10" s="932"/>
    </row>
    <row r="11" spans="1:5" x14ac:dyDescent="0.2">
      <c r="A11" s="926" t="str">
        <f>B101&amp;" - "&amp;C101</f>
        <v>Vote 10 - [NAME OF VOTE 10]</v>
      </c>
      <c r="B11" s="930">
        <v>1.9</v>
      </c>
      <c r="C11" s="931" t="s">
        <v>1318</v>
      </c>
      <c r="D11" s="926" t="str">
        <f t="shared" si="0"/>
        <v>1.9 - [Name of sub-vote]</v>
      </c>
      <c r="E11" s="932"/>
    </row>
    <row r="12" spans="1:5" x14ac:dyDescent="0.2">
      <c r="A12" s="926" t="str">
        <f>B112&amp;" - "&amp;C112</f>
        <v>Vote 11 - [NAME OF VOTE 11]</v>
      </c>
      <c r="B12" s="930" t="s">
        <v>1319</v>
      </c>
      <c r="C12" s="931" t="s">
        <v>1318</v>
      </c>
      <c r="D12" s="926" t="str">
        <f t="shared" si="0"/>
        <v>1.10 - [Name of sub-vote]</v>
      </c>
      <c r="E12" s="932"/>
    </row>
    <row r="13" spans="1:5" x14ac:dyDescent="0.2">
      <c r="A13" s="926" t="str">
        <f>B123&amp;" - "&amp;C123</f>
        <v>Vote 12 - [NAME OF VOTE 12]</v>
      </c>
      <c r="B13" s="927" t="s">
        <v>679</v>
      </c>
      <c r="C13" s="928" t="s">
        <v>1830</v>
      </c>
      <c r="E13" s="929"/>
    </row>
    <row r="14" spans="1:5" x14ac:dyDescent="0.2">
      <c r="A14" s="926" t="str">
        <f>B134&amp;" - "&amp;C134</f>
        <v>Vote 13 - [NAME OF VOTE 13]</v>
      </c>
      <c r="B14" s="930">
        <v>2.1</v>
      </c>
      <c r="C14" s="931" t="s">
        <v>1831</v>
      </c>
      <c r="D14" s="926" t="str">
        <f t="shared" ref="D14:D23" si="1">CONCATENATE(B14, " - ", C14)</f>
        <v>2.1 - Administration Strategy &amp; Development</v>
      </c>
      <c r="E14" s="932" t="s">
        <v>1838</v>
      </c>
    </row>
    <row r="15" spans="1:5" x14ac:dyDescent="0.2">
      <c r="A15" s="926" t="str">
        <f>B145&amp;" - "&amp;C145</f>
        <v>Vote 14 - [NAME OF VOTE 14]</v>
      </c>
      <c r="B15" s="930">
        <v>2.2000000000000002</v>
      </c>
      <c r="C15" s="931" t="s">
        <v>1832</v>
      </c>
      <c r="D15" s="926" t="str">
        <f t="shared" si="1"/>
        <v>2.2 - Local Economic Development</v>
      </c>
      <c r="E15" s="932" t="s">
        <v>1839</v>
      </c>
    </row>
    <row r="16" spans="1:5" x14ac:dyDescent="0.2">
      <c r="A16" s="926" t="str">
        <f>B156&amp;" - "&amp;C156</f>
        <v>Vote 15 - [NAME OF VOTE 15]</v>
      </c>
      <c r="B16" s="930">
        <v>2.2999999999999998</v>
      </c>
      <c r="C16" s="931" t="s">
        <v>1833</v>
      </c>
      <c r="D16" s="926" t="str">
        <f t="shared" si="1"/>
        <v>2.3 - Town &amp; Regional Planning</v>
      </c>
      <c r="E16" s="932" t="s">
        <v>1840</v>
      </c>
    </row>
    <row r="17" spans="1:5" x14ac:dyDescent="0.2">
      <c r="B17" s="930">
        <v>2.4</v>
      </c>
      <c r="C17" s="931" t="s">
        <v>1834</v>
      </c>
      <c r="D17" s="926" t="str">
        <f t="shared" si="1"/>
        <v>2.4 - Housing Administration</v>
      </c>
      <c r="E17" s="932" t="s">
        <v>1841</v>
      </c>
    </row>
    <row r="18" spans="1:5" x14ac:dyDescent="0.2">
      <c r="B18" s="930">
        <v>2.5</v>
      </c>
      <c r="C18" s="931" t="s">
        <v>1835</v>
      </c>
      <c r="D18" s="926" t="str">
        <f t="shared" si="1"/>
        <v>2.5 - SATELITE OFFICE: NKOWANKOWA</v>
      </c>
      <c r="E18" s="932" t="s">
        <v>1842</v>
      </c>
    </row>
    <row r="19" spans="1:5" x14ac:dyDescent="0.2">
      <c r="B19" s="930">
        <v>2.6</v>
      </c>
      <c r="C19" s="931" t="s">
        <v>1836</v>
      </c>
      <c r="D19" s="926" t="str">
        <f t="shared" si="1"/>
        <v>2.6 - SATELITE OFFICE: LENYENYE</v>
      </c>
      <c r="E19" s="932" t="s">
        <v>1843</v>
      </c>
    </row>
    <row r="20" spans="1:5" x14ac:dyDescent="0.2">
      <c r="B20" s="930">
        <v>2.7</v>
      </c>
      <c r="C20" s="931" t="s">
        <v>1837</v>
      </c>
      <c r="D20" s="926" t="str">
        <f t="shared" si="1"/>
        <v>2.7 - SATELITE OFFICE: LETSITELE</v>
      </c>
      <c r="E20" s="932" t="s">
        <v>1844</v>
      </c>
    </row>
    <row r="21" spans="1:5" x14ac:dyDescent="0.2">
      <c r="A21" s="929"/>
      <c r="B21" s="930">
        <v>2.8</v>
      </c>
      <c r="C21" s="931" t="s">
        <v>1318</v>
      </c>
      <c r="D21" s="926" t="str">
        <f t="shared" si="1"/>
        <v>2.8 - [Name of sub-vote]</v>
      </c>
      <c r="E21" s="932"/>
    </row>
    <row r="22" spans="1:5" x14ac:dyDescent="0.2">
      <c r="B22" s="930">
        <v>2.9</v>
      </c>
      <c r="C22" s="931" t="s">
        <v>1318</v>
      </c>
      <c r="D22" s="926" t="str">
        <f t="shared" si="1"/>
        <v>2.9 - [Name of sub-vote]</v>
      </c>
      <c r="E22" s="932"/>
    </row>
    <row r="23" spans="1:5" x14ac:dyDescent="0.2">
      <c r="B23" s="930" t="s">
        <v>1320</v>
      </c>
      <c r="C23" s="931" t="s">
        <v>1318</v>
      </c>
      <c r="D23" s="926" t="str">
        <f t="shared" si="1"/>
        <v>2.10 - [Name of sub-vote]</v>
      </c>
      <c r="E23" s="932"/>
    </row>
    <row r="24" spans="1:5" x14ac:dyDescent="0.2">
      <c r="B24" s="927" t="s">
        <v>680</v>
      </c>
      <c r="C24" s="928" t="s">
        <v>1845</v>
      </c>
      <c r="E24" s="932"/>
    </row>
    <row r="25" spans="1:5" x14ac:dyDescent="0.2">
      <c r="B25" s="930">
        <v>3.1</v>
      </c>
      <c r="C25" s="931" t="s">
        <v>1846</v>
      </c>
      <c r="D25" s="926" t="str">
        <f t="shared" ref="D25:D34" si="2">CONCATENATE(B25, " - ", C25)</f>
        <v>3.1 - Administration Finance</v>
      </c>
      <c r="E25" s="932" t="s">
        <v>1851</v>
      </c>
    </row>
    <row r="26" spans="1:5" x14ac:dyDescent="0.2">
      <c r="B26" s="930">
        <v>3.2</v>
      </c>
      <c r="C26" s="931" t="s">
        <v>1847</v>
      </c>
      <c r="D26" s="926" t="str">
        <f t="shared" si="2"/>
        <v>3.2 - Budget office</v>
      </c>
      <c r="E26" s="932" t="s">
        <v>1852</v>
      </c>
    </row>
    <row r="27" spans="1:5" x14ac:dyDescent="0.2">
      <c r="B27" s="930">
        <v>3.3</v>
      </c>
      <c r="C27" s="931" t="s">
        <v>1848</v>
      </c>
      <c r="D27" s="926" t="str">
        <f t="shared" si="2"/>
        <v>3.3 - Revenue</v>
      </c>
      <c r="E27" s="932" t="s">
        <v>1853</v>
      </c>
    </row>
    <row r="28" spans="1:5" x14ac:dyDescent="0.2">
      <c r="B28" s="930">
        <v>3.4</v>
      </c>
      <c r="C28" s="931" t="s">
        <v>1849</v>
      </c>
      <c r="D28" s="926" t="str">
        <f t="shared" si="2"/>
        <v>3.4 - Expenditure</v>
      </c>
      <c r="E28" s="932" t="s">
        <v>1854</v>
      </c>
    </row>
    <row r="29" spans="1:5" x14ac:dyDescent="0.2">
      <c r="B29" s="930">
        <v>3.5</v>
      </c>
      <c r="C29" s="931" t="s">
        <v>698</v>
      </c>
      <c r="D29" s="926" t="str">
        <f t="shared" si="2"/>
        <v>3.5 - Inventory</v>
      </c>
      <c r="E29" s="932" t="s">
        <v>1855</v>
      </c>
    </row>
    <row r="30" spans="1:5" x14ac:dyDescent="0.2">
      <c r="B30" s="930">
        <v>3.6</v>
      </c>
      <c r="C30" s="931" t="s">
        <v>1850</v>
      </c>
      <c r="D30" s="926" t="str">
        <f t="shared" si="2"/>
        <v>3.6 - Supply Chain Management</v>
      </c>
      <c r="E30" s="932" t="s">
        <v>1856</v>
      </c>
    </row>
    <row r="31" spans="1:5" x14ac:dyDescent="0.2">
      <c r="B31" s="930">
        <v>3.7</v>
      </c>
      <c r="C31" s="931" t="s">
        <v>1318</v>
      </c>
      <c r="D31" s="926" t="str">
        <f t="shared" si="2"/>
        <v>3.7 - [Name of sub-vote]</v>
      </c>
      <c r="E31" s="932"/>
    </row>
    <row r="32" spans="1:5" x14ac:dyDescent="0.2">
      <c r="B32" s="930">
        <v>3.8</v>
      </c>
      <c r="C32" s="931" t="s">
        <v>1318</v>
      </c>
      <c r="D32" s="926" t="str">
        <f t="shared" si="2"/>
        <v>3.8 - [Name of sub-vote]</v>
      </c>
      <c r="E32" s="932"/>
    </row>
    <row r="33" spans="2:5" x14ac:dyDescent="0.2">
      <c r="B33" s="930">
        <v>3.9</v>
      </c>
      <c r="C33" s="931" t="s">
        <v>1318</v>
      </c>
      <c r="D33" s="926" t="str">
        <f t="shared" si="2"/>
        <v>3.9 - [Name of sub-vote]</v>
      </c>
      <c r="E33" s="932"/>
    </row>
    <row r="34" spans="2:5" x14ac:dyDescent="0.2">
      <c r="B34" s="930" t="s">
        <v>1321</v>
      </c>
      <c r="C34" s="931" t="s">
        <v>1318</v>
      </c>
      <c r="D34" s="926" t="str">
        <f t="shared" si="2"/>
        <v>3.10 - [Name of sub-vote]</v>
      </c>
      <c r="E34" s="932"/>
    </row>
    <row r="35" spans="2:5" x14ac:dyDescent="0.2">
      <c r="B35" s="927" t="s">
        <v>681</v>
      </c>
      <c r="C35" s="928" t="s">
        <v>1861</v>
      </c>
      <c r="E35" s="932"/>
    </row>
    <row r="36" spans="2:5" x14ac:dyDescent="0.2">
      <c r="B36" s="930">
        <v>4.0999999999999996</v>
      </c>
      <c r="C36" s="931" t="s">
        <v>1857</v>
      </c>
      <c r="D36" s="926" t="str">
        <f t="shared" ref="D36:D45" si="3">CONCATENATE(B36, " - ", C36)</f>
        <v>4.1 - Communications</v>
      </c>
      <c r="E36" s="932" t="s">
        <v>1864</v>
      </c>
    </row>
    <row r="37" spans="2:5" x14ac:dyDescent="0.2">
      <c r="B37" s="930">
        <v>4.2</v>
      </c>
      <c r="C37" s="931" t="s">
        <v>1858</v>
      </c>
      <c r="D37" s="926" t="str">
        <f t="shared" si="3"/>
        <v>4.2 - Public Participation &amp; Project Support</v>
      </c>
      <c r="E37" s="932" t="s">
        <v>1865</v>
      </c>
    </row>
    <row r="38" spans="2:5" x14ac:dyDescent="0.2">
      <c r="B38" s="930">
        <v>4.3</v>
      </c>
      <c r="C38" s="931" t="s">
        <v>1859</v>
      </c>
      <c r="D38" s="926" t="str">
        <f t="shared" si="3"/>
        <v>4.3 - Administration HR &amp; Corporate</v>
      </c>
      <c r="E38" s="932" t="s">
        <v>1890</v>
      </c>
    </row>
    <row r="39" spans="2:5" x14ac:dyDescent="0.2">
      <c r="B39" s="930">
        <v>4.4000000000000004</v>
      </c>
      <c r="C39" s="931" t="s">
        <v>1002</v>
      </c>
      <c r="D39" s="926" t="str">
        <f t="shared" si="3"/>
        <v>4.4 - Human Resources</v>
      </c>
      <c r="E39" s="932" t="s">
        <v>1891</v>
      </c>
    </row>
    <row r="40" spans="2:5" x14ac:dyDescent="0.2">
      <c r="B40" s="930">
        <v>4.5</v>
      </c>
      <c r="C40" s="931" t="s">
        <v>1860</v>
      </c>
      <c r="D40" s="926" t="str">
        <f t="shared" si="3"/>
        <v>4.5 - Occupational Health &amp; safety</v>
      </c>
      <c r="E40" s="932" t="s">
        <v>1892</v>
      </c>
    </row>
    <row r="41" spans="2:5" x14ac:dyDescent="0.2">
      <c r="B41" s="930">
        <v>4.5999999999999996</v>
      </c>
      <c r="C41" s="931" t="s">
        <v>1861</v>
      </c>
      <c r="D41" s="926" t="str">
        <f t="shared" si="3"/>
        <v>4.6 - Corporate Services</v>
      </c>
      <c r="E41" s="932" t="s">
        <v>1893</v>
      </c>
    </row>
    <row r="42" spans="2:5" x14ac:dyDescent="0.2">
      <c r="B42" s="930">
        <v>4.7</v>
      </c>
      <c r="C42" s="931" t="s">
        <v>1862</v>
      </c>
      <c r="D42" s="926" t="str">
        <f t="shared" si="3"/>
        <v>4.7 - Council Expenditure</v>
      </c>
      <c r="E42" s="932" t="s">
        <v>1894</v>
      </c>
    </row>
    <row r="43" spans="2:5" x14ac:dyDescent="0.2">
      <c r="B43" s="930">
        <v>4.8</v>
      </c>
      <c r="C43" s="931" t="s">
        <v>1863</v>
      </c>
      <c r="D43" s="926" t="str">
        <f t="shared" si="3"/>
        <v>4.8 - Information Technolgy</v>
      </c>
      <c r="E43" s="932" t="s">
        <v>1895</v>
      </c>
    </row>
    <row r="44" spans="2:5" x14ac:dyDescent="0.2">
      <c r="B44" s="930">
        <v>4.9000000000000004</v>
      </c>
      <c r="C44" s="931" t="s">
        <v>1318</v>
      </c>
      <c r="D44" s="926" t="str">
        <f t="shared" si="3"/>
        <v>4.9 - [Name of sub-vote]</v>
      </c>
      <c r="E44" s="932" t="s">
        <v>1866</v>
      </c>
    </row>
    <row r="45" spans="2:5" x14ac:dyDescent="0.2">
      <c r="B45" s="930" t="s">
        <v>1322</v>
      </c>
      <c r="C45" s="931" t="s">
        <v>1318</v>
      </c>
      <c r="D45" s="926" t="str">
        <f t="shared" si="3"/>
        <v>4.10 - [Name of sub-vote]</v>
      </c>
      <c r="E45" s="932"/>
    </row>
    <row r="46" spans="2:5" x14ac:dyDescent="0.2">
      <c r="B46" s="927" t="s">
        <v>682</v>
      </c>
      <c r="C46" s="928" t="s">
        <v>1867</v>
      </c>
      <c r="E46" s="932"/>
    </row>
    <row r="47" spans="2:5" x14ac:dyDescent="0.2">
      <c r="B47" s="930">
        <v>5.0999999999999996</v>
      </c>
      <c r="C47" s="931" t="s">
        <v>1868</v>
      </c>
      <c r="D47" s="926" t="str">
        <f t="shared" ref="D47:D56" si="4">CONCATENATE(B47, " - ", C47)</f>
        <v>5.1 - Parks &amp; Recreation</v>
      </c>
      <c r="E47" s="932" t="s">
        <v>1899</v>
      </c>
    </row>
    <row r="48" spans="2:5" x14ac:dyDescent="0.2">
      <c r="B48" s="930">
        <v>5.2</v>
      </c>
      <c r="C48" s="931" t="s">
        <v>1869</v>
      </c>
      <c r="D48" s="926" t="str">
        <f t="shared" si="4"/>
        <v>5.2 - Administration Community Services</v>
      </c>
      <c r="E48" s="932" t="s">
        <v>1900</v>
      </c>
    </row>
    <row r="49" spans="2:5" x14ac:dyDescent="0.2">
      <c r="B49" s="930">
        <v>5.3</v>
      </c>
      <c r="C49" s="931" t="s">
        <v>1870</v>
      </c>
      <c r="D49" s="926" t="str">
        <f t="shared" si="4"/>
        <v>5.3 - Community Health Services</v>
      </c>
      <c r="E49" s="932" t="s">
        <v>1901</v>
      </c>
    </row>
    <row r="50" spans="2:5" x14ac:dyDescent="0.2">
      <c r="B50" s="930">
        <v>5.4</v>
      </c>
      <c r="C50" s="931" t="s">
        <v>1871</v>
      </c>
      <c r="D50" s="926" t="str">
        <f t="shared" si="4"/>
        <v>5.4 - Enviromental Health Services</v>
      </c>
      <c r="E50" s="932" t="s">
        <v>1902</v>
      </c>
    </row>
    <row r="51" spans="2:5" x14ac:dyDescent="0.2">
      <c r="B51" s="930">
        <v>5.5</v>
      </c>
      <c r="C51" s="931" t="s">
        <v>1872</v>
      </c>
      <c r="D51" s="926" t="str">
        <f t="shared" si="4"/>
        <v>5.5 - Library Services</v>
      </c>
      <c r="E51" s="932" t="s">
        <v>1903</v>
      </c>
    </row>
    <row r="52" spans="2:5" x14ac:dyDescent="0.2">
      <c r="B52" s="930">
        <v>5.6</v>
      </c>
      <c r="C52" s="931" t="s">
        <v>1873</v>
      </c>
      <c r="D52" s="926" t="str">
        <f t="shared" si="4"/>
        <v>5.6 - Solid Waste</v>
      </c>
      <c r="E52" s="932" t="s">
        <v>1904</v>
      </c>
    </row>
    <row r="53" spans="2:5" x14ac:dyDescent="0.2">
      <c r="B53" s="930">
        <v>5.7</v>
      </c>
      <c r="C53" s="931" t="s">
        <v>1874</v>
      </c>
      <c r="D53" s="926" t="str">
        <f t="shared" si="4"/>
        <v>5.7 - Street Cleansing</v>
      </c>
      <c r="E53" s="932" t="s">
        <v>1905</v>
      </c>
    </row>
    <row r="54" spans="2:5" x14ac:dyDescent="0.2">
      <c r="B54" s="930">
        <v>5.8</v>
      </c>
      <c r="C54" s="931" t="s">
        <v>1014</v>
      </c>
      <c r="D54" s="926" t="str">
        <f t="shared" si="4"/>
        <v>5.8 - Public Toilets</v>
      </c>
      <c r="E54" s="932" t="s">
        <v>1906</v>
      </c>
    </row>
    <row r="55" spans="2:5" x14ac:dyDescent="0.2">
      <c r="B55" s="930">
        <v>5.9</v>
      </c>
      <c r="C55" s="931" t="s">
        <v>1318</v>
      </c>
      <c r="D55" s="926" t="str">
        <f t="shared" si="4"/>
        <v>5.9 - [Name of sub-vote]</v>
      </c>
      <c r="E55" s="932"/>
    </row>
    <row r="56" spans="2:5" x14ac:dyDescent="0.2">
      <c r="B56" s="930" t="s">
        <v>1323</v>
      </c>
      <c r="C56" s="931" t="s">
        <v>1318</v>
      </c>
      <c r="D56" s="926" t="str">
        <f t="shared" si="4"/>
        <v>5.10 - [Name of sub-vote]</v>
      </c>
      <c r="E56" s="932"/>
    </row>
    <row r="57" spans="2:5" x14ac:dyDescent="0.2">
      <c r="B57" s="927" t="s">
        <v>683</v>
      </c>
      <c r="C57" s="928" t="s">
        <v>1867</v>
      </c>
      <c r="E57" s="932"/>
    </row>
    <row r="58" spans="2:5" x14ac:dyDescent="0.2">
      <c r="B58" s="930">
        <v>6.1</v>
      </c>
      <c r="C58" s="931" t="s">
        <v>1875</v>
      </c>
      <c r="D58" s="926" t="str">
        <f t="shared" ref="D58:D67" si="5">CONCATENATE(B58, " - ", C58)</f>
        <v>6.1 - Traffic services</v>
      </c>
      <c r="E58" s="932" t="s">
        <v>1896</v>
      </c>
    </row>
    <row r="59" spans="2:5" x14ac:dyDescent="0.2">
      <c r="B59" s="930">
        <v>6.2</v>
      </c>
      <c r="C59" s="931" t="s">
        <v>1876</v>
      </c>
      <c r="D59" s="926" t="str">
        <f t="shared" si="5"/>
        <v>6.2 - Administration Transport,safety,Security</v>
      </c>
      <c r="E59" s="932" t="s">
        <v>1897</v>
      </c>
    </row>
    <row r="60" spans="2:5" x14ac:dyDescent="0.2">
      <c r="B60" s="930">
        <v>6.3</v>
      </c>
      <c r="C60" s="931" t="s">
        <v>1877</v>
      </c>
      <c r="D60" s="926" t="str">
        <f t="shared" si="5"/>
        <v>6.3 - Vehicle licencing</v>
      </c>
      <c r="E60" s="932" t="s">
        <v>1898</v>
      </c>
    </row>
    <row r="61" spans="2:5" x14ac:dyDescent="0.2">
      <c r="B61" s="930">
        <v>6.4</v>
      </c>
      <c r="C61" s="931" t="s">
        <v>1318</v>
      </c>
      <c r="D61" s="926" t="str">
        <f t="shared" si="5"/>
        <v>6.4 - [Name of sub-vote]</v>
      </c>
      <c r="E61" s="932"/>
    </row>
    <row r="62" spans="2:5" x14ac:dyDescent="0.2">
      <c r="B62" s="930">
        <v>6.5</v>
      </c>
      <c r="C62" s="931" t="s">
        <v>1318</v>
      </c>
      <c r="D62" s="926" t="str">
        <f t="shared" si="5"/>
        <v>6.5 - [Name of sub-vote]</v>
      </c>
      <c r="E62" s="932"/>
    </row>
    <row r="63" spans="2:5" x14ac:dyDescent="0.2">
      <c r="B63" s="930">
        <v>6.6</v>
      </c>
      <c r="C63" s="931" t="s">
        <v>1318</v>
      </c>
      <c r="D63" s="926" t="str">
        <f t="shared" si="5"/>
        <v>6.6 - [Name of sub-vote]</v>
      </c>
      <c r="E63" s="932"/>
    </row>
    <row r="64" spans="2:5" x14ac:dyDescent="0.2">
      <c r="B64" s="930">
        <v>6.7</v>
      </c>
      <c r="C64" s="931" t="s">
        <v>1318</v>
      </c>
      <c r="D64" s="926" t="str">
        <f t="shared" si="5"/>
        <v>6.7 - [Name of sub-vote]</v>
      </c>
      <c r="E64" s="932"/>
    </row>
    <row r="65" spans="2:5" x14ac:dyDescent="0.2">
      <c r="B65" s="930">
        <v>6.8</v>
      </c>
      <c r="C65" s="931" t="s">
        <v>1318</v>
      </c>
      <c r="D65" s="926" t="str">
        <f t="shared" si="5"/>
        <v>6.8 - [Name of sub-vote]</v>
      </c>
      <c r="E65" s="932"/>
    </row>
    <row r="66" spans="2:5" x14ac:dyDescent="0.2">
      <c r="B66" s="930">
        <v>6.9</v>
      </c>
      <c r="C66" s="931" t="s">
        <v>1318</v>
      </c>
      <c r="D66" s="926" t="str">
        <f t="shared" si="5"/>
        <v>6.9 - [Name of sub-vote]</v>
      </c>
      <c r="E66" s="932"/>
    </row>
    <row r="67" spans="2:5" x14ac:dyDescent="0.2">
      <c r="B67" s="930" t="s">
        <v>1324</v>
      </c>
      <c r="C67" s="931" t="s">
        <v>1318</v>
      </c>
      <c r="D67" s="926" t="str">
        <f t="shared" si="5"/>
        <v>6.10 - [Name of sub-vote]</v>
      </c>
      <c r="E67" s="932"/>
    </row>
    <row r="68" spans="2:5" x14ac:dyDescent="0.2">
      <c r="B68" s="933" t="s">
        <v>684</v>
      </c>
      <c r="C68" s="928" t="s">
        <v>1878</v>
      </c>
      <c r="E68" s="932"/>
    </row>
    <row r="69" spans="2:5" x14ac:dyDescent="0.2">
      <c r="B69" s="930">
        <v>7.1</v>
      </c>
      <c r="C69" s="931" t="s">
        <v>1879</v>
      </c>
      <c r="D69" s="926" t="str">
        <f t="shared" ref="D69:D78" si="6">CONCATENATE(B69, " - ", C69)</f>
        <v>7.1 - Administration Electrical Engineering</v>
      </c>
      <c r="E69" s="932" t="s">
        <v>1907</v>
      </c>
    </row>
    <row r="70" spans="2:5" x14ac:dyDescent="0.2">
      <c r="B70" s="930">
        <v>7.2</v>
      </c>
      <c r="C70" s="931" t="s">
        <v>1880</v>
      </c>
      <c r="D70" s="926" t="str">
        <f t="shared" si="6"/>
        <v>7.2 - Operations &amp; Maintenance: Rural</v>
      </c>
      <c r="E70" s="932" t="s">
        <v>1908</v>
      </c>
    </row>
    <row r="71" spans="2:5" x14ac:dyDescent="0.2">
      <c r="B71" s="930">
        <v>7.3</v>
      </c>
      <c r="C71" s="931" t="s">
        <v>1881</v>
      </c>
      <c r="D71" s="926" t="str">
        <f t="shared" si="6"/>
        <v>7.3 - Operations &amp; Maintenance: Town</v>
      </c>
      <c r="E71" s="932" t="s">
        <v>1909</v>
      </c>
    </row>
    <row r="72" spans="2:5" x14ac:dyDescent="0.2">
      <c r="B72" s="930">
        <v>7.4</v>
      </c>
      <c r="C72" s="931" t="s">
        <v>1318</v>
      </c>
      <c r="D72" s="926" t="str">
        <f t="shared" si="6"/>
        <v>7.4 - [Name of sub-vote]</v>
      </c>
      <c r="E72" s="932"/>
    </row>
    <row r="73" spans="2:5" x14ac:dyDescent="0.2">
      <c r="B73" s="930">
        <v>7.5</v>
      </c>
      <c r="C73" s="931" t="s">
        <v>1318</v>
      </c>
      <c r="D73" s="926" t="str">
        <f t="shared" si="6"/>
        <v>7.5 - [Name of sub-vote]</v>
      </c>
      <c r="E73" s="932"/>
    </row>
    <row r="74" spans="2:5" x14ac:dyDescent="0.2">
      <c r="B74" s="930">
        <v>7.6</v>
      </c>
      <c r="C74" s="931" t="s">
        <v>1318</v>
      </c>
      <c r="D74" s="926" t="str">
        <f t="shared" si="6"/>
        <v>7.6 - [Name of sub-vote]</v>
      </c>
      <c r="E74" s="932"/>
    </row>
    <row r="75" spans="2:5" x14ac:dyDescent="0.2">
      <c r="B75" s="930">
        <v>7.7</v>
      </c>
      <c r="C75" s="931" t="s">
        <v>1318</v>
      </c>
      <c r="D75" s="926" t="str">
        <f t="shared" si="6"/>
        <v>7.7 - [Name of sub-vote]</v>
      </c>
      <c r="E75" s="932"/>
    </row>
    <row r="76" spans="2:5" x14ac:dyDescent="0.2">
      <c r="B76" s="930">
        <v>7.8</v>
      </c>
      <c r="C76" s="931" t="s">
        <v>1318</v>
      </c>
      <c r="D76" s="926" t="str">
        <f t="shared" si="6"/>
        <v>7.8 - [Name of sub-vote]</v>
      </c>
      <c r="E76" s="932"/>
    </row>
    <row r="77" spans="2:5" x14ac:dyDescent="0.2">
      <c r="B77" s="930">
        <v>7.9</v>
      </c>
      <c r="C77" s="931" t="s">
        <v>1318</v>
      </c>
      <c r="D77" s="926" t="str">
        <f t="shared" si="6"/>
        <v>7.9 - [Name of sub-vote]</v>
      </c>
      <c r="E77" s="932"/>
    </row>
    <row r="78" spans="2:5" x14ac:dyDescent="0.2">
      <c r="B78" s="930" t="s">
        <v>1325</v>
      </c>
      <c r="C78" s="931" t="s">
        <v>1318</v>
      </c>
      <c r="D78" s="926" t="str">
        <f t="shared" si="6"/>
        <v>7.10 - [Name of sub-vote]</v>
      </c>
      <c r="E78" s="932"/>
    </row>
    <row r="79" spans="2:5" x14ac:dyDescent="0.2">
      <c r="B79" s="933" t="s">
        <v>685</v>
      </c>
      <c r="C79" s="928" t="s">
        <v>1882</v>
      </c>
      <c r="E79" s="932"/>
    </row>
    <row r="80" spans="2:5" x14ac:dyDescent="0.2">
      <c r="B80" s="930">
        <v>8.1</v>
      </c>
      <c r="C80" s="931" t="s">
        <v>1509</v>
      </c>
      <c r="D80" s="926" t="str">
        <f t="shared" ref="D80:D89" si="7">CONCATENATE(B80, " - ", C80)</f>
        <v>8.1 - Fleet Management</v>
      </c>
      <c r="E80" s="932" t="s">
        <v>1910</v>
      </c>
    </row>
    <row r="81" spans="2:5" x14ac:dyDescent="0.2">
      <c r="B81" s="930">
        <v>8.1999999999999993</v>
      </c>
      <c r="C81" s="931" t="s">
        <v>1883</v>
      </c>
      <c r="D81" s="926" t="str">
        <f t="shared" si="7"/>
        <v>8.2 - Administration Civil Engineering</v>
      </c>
      <c r="E81" s="932" t="s">
        <v>1911</v>
      </c>
    </row>
    <row r="82" spans="2:5" x14ac:dyDescent="0.2">
      <c r="B82" s="930">
        <v>8.3000000000000007</v>
      </c>
      <c r="C82" s="931" t="s">
        <v>1884</v>
      </c>
      <c r="D82" s="926" t="str">
        <f t="shared" si="7"/>
        <v>8.3 - Roads &amp; stormwater Management</v>
      </c>
      <c r="E82" s="932" t="s">
        <v>1912</v>
      </c>
    </row>
    <row r="83" spans="2:5" x14ac:dyDescent="0.2">
      <c r="B83" s="930">
        <v>8.4</v>
      </c>
      <c r="C83" s="931" t="s">
        <v>1885</v>
      </c>
      <c r="D83" s="926" t="str">
        <f t="shared" si="7"/>
        <v>8.4 - Water Networks</v>
      </c>
      <c r="E83" s="932" t="s">
        <v>1913</v>
      </c>
    </row>
    <row r="84" spans="2:5" x14ac:dyDescent="0.2">
      <c r="B84" s="930">
        <v>8.5</v>
      </c>
      <c r="C84" s="931" t="s">
        <v>1886</v>
      </c>
      <c r="D84" s="926" t="str">
        <f t="shared" si="7"/>
        <v>8.5 - Water Purification</v>
      </c>
      <c r="E84" s="932" t="s">
        <v>1914</v>
      </c>
    </row>
    <row r="85" spans="2:5" x14ac:dyDescent="0.2">
      <c r="B85" s="930">
        <v>8.6</v>
      </c>
      <c r="C85" s="931" t="s">
        <v>1887</v>
      </c>
      <c r="D85" s="926" t="str">
        <f t="shared" si="7"/>
        <v>8.6 - Building &amp; Housing</v>
      </c>
      <c r="E85" s="932" t="s">
        <v>1915</v>
      </c>
    </row>
    <row r="86" spans="2:5" x14ac:dyDescent="0.2">
      <c r="B86" s="930">
        <v>8.6999999999999993</v>
      </c>
      <c r="C86" s="931" t="s">
        <v>1888</v>
      </c>
      <c r="D86" s="926" t="str">
        <f t="shared" si="7"/>
        <v>8.7 - Project Management</v>
      </c>
      <c r="E86" s="932" t="s">
        <v>1916</v>
      </c>
    </row>
    <row r="87" spans="2:5" x14ac:dyDescent="0.2">
      <c r="B87" s="930">
        <v>8.8000000000000007</v>
      </c>
      <c r="C87" s="931" t="s">
        <v>1889</v>
      </c>
      <c r="D87" s="926" t="str">
        <f t="shared" si="7"/>
        <v>8.8 - Sewerage Purification</v>
      </c>
      <c r="E87" s="932" t="s">
        <v>1917</v>
      </c>
    </row>
    <row r="88" spans="2:5" x14ac:dyDescent="0.2">
      <c r="B88" s="930">
        <v>8.9</v>
      </c>
      <c r="C88" s="931" t="s">
        <v>1318</v>
      </c>
      <c r="D88" s="926" t="str">
        <f t="shared" si="7"/>
        <v>8.9 - [Name of sub-vote]</v>
      </c>
      <c r="E88" s="932"/>
    </row>
    <row r="89" spans="2:5" x14ac:dyDescent="0.2">
      <c r="B89" s="930" t="s">
        <v>1326</v>
      </c>
      <c r="C89" s="931" t="s">
        <v>1318</v>
      </c>
      <c r="D89" s="926" t="str">
        <f t="shared" si="7"/>
        <v>8.10 - [Name of sub-vote]</v>
      </c>
      <c r="E89" s="932"/>
    </row>
    <row r="90" spans="2:5" x14ac:dyDescent="0.2">
      <c r="B90" s="933" t="s">
        <v>686</v>
      </c>
      <c r="C90" s="928" t="s">
        <v>1327</v>
      </c>
      <c r="E90" s="932"/>
    </row>
    <row r="91" spans="2:5" x14ac:dyDescent="0.2">
      <c r="B91" s="930">
        <v>9.1</v>
      </c>
      <c r="C91" s="931" t="s">
        <v>1318</v>
      </c>
      <c r="D91" s="926" t="str">
        <f t="shared" ref="D91:D100" si="8">CONCATENATE(B91, " - ", C91)</f>
        <v>9.1 - [Name of sub-vote]</v>
      </c>
      <c r="E91" s="932" t="s">
        <v>1328</v>
      </c>
    </row>
    <row r="92" spans="2:5" x14ac:dyDescent="0.2">
      <c r="B92" s="930">
        <v>9.1999999999999993</v>
      </c>
      <c r="C92" s="931" t="s">
        <v>1318</v>
      </c>
      <c r="D92" s="926" t="str">
        <f t="shared" si="8"/>
        <v>9.2 - [Name of sub-vote]</v>
      </c>
      <c r="E92" s="932"/>
    </row>
    <row r="93" spans="2:5" x14ac:dyDescent="0.2">
      <c r="B93" s="930">
        <v>9.3000000000000007</v>
      </c>
      <c r="C93" s="931" t="s">
        <v>1318</v>
      </c>
      <c r="D93" s="926" t="str">
        <f t="shared" si="8"/>
        <v>9.3 - [Name of sub-vote]</v>
      </c>
      <c r="E93" s="932"/>
    </row>
    <row r="94" spans="2:5" x14ac:dyDescent="0.2">
      <c r="B94" s="930">
        <v>9.4</v>
      </c>
      <c r="C94" s="931" t="s">
        <v>1318</v>
      </c>
      <c r="D94" s="926" t="str">
        <f t="shared" si="8"/>
        <v>9.4 - [Name of sub-vote]</v>
      </c>
      <c r="E94" s="932"/>
    </row>
    <row r="95" spans="2:5" x14ac:dyDescent="0.2">
      <c r="B95" s="930">
        <v>9.5</v>
      </c>
      <c r="C95" s="931" t="s">
        <v>1318</v>
      </c>
      <c r="D95" s="926" t="str">
        <f t="shared" si="8"/>
        <v>9.5 - [Name of sub-vote]</v>
      </c>
      <c r="E95" s="932"/>
    </row>
    <row r="96" spans="2:5" x14ac:dyDescent="0.2">
      <c r="B96" s="930">
        <v>9.6</v>
      </c>
      <c r="C96" s="931" t="s">
        <v>1318</v>
      </c>
      <c r="D96" s="926" t="str">
        <f t="shared" si="8"/>
        <v>9.6 - [Name of sub-vote]</v>
      </c>
      <c r="E96" s="932"/>
    </row>
    <row r="97" spans="2:5" x14ac:dyDescent="0.2">
      <c r="B97" s="930">
        <v>9.6999999999999993</v>
      </c>
      <c r="C97" s="931" t="s">
        <v>1318</v>
      </c>
      <c r="D97" s="926" t="str">
        <f t="shared" si="8"/>
        <v>9.7 - [Name of sub-vote]</v>
      </c>
      <c r="E97" s="932"/>
    </row>
    <row r="98" spans="2:5" x14ac:dyDescent="0.2">
      <c r="B98" s="930">
        <v>9.8000000000000007</v>
      </c>
      <c r="C98" s="931" t="s">
        <v>1318</v>
      </c>
      <c r="D98" s="926" t="str">
        <f t="shared" si="8"/>
        <v>9.8 - [Name of sub-vote]</v>
      </c>
      <c r="E98" s="932"/>
    </row>
    <row r="99" spans="2:5" x14ac:dyDescent="0.2">
      <c r="B99" s="930">
        <v>9.9</v>
      </c>
      <c r="C99" s="931" t="s">
        <v>1318</v>
      </c>
      <c r="D99" s="926" t="str">
        <f t="shared" si="8"/>
        <v>9.9 - [Name of sub-vote]</v>
      </c>
      <c r="E99" s="932"/>
    </row>
    <row r="100" spans="2:5" x14ac:dyDescent="0.2">
      <c r="B100" s="930" t="s">
        <v>1329</v>
      </c>
      <c r="C100" s="931" t="s">
        <v>1318</v>
      </c>
      <c r="D100" s="926" t="str">
        <f t="shared" si="8"/>
        <v>9.10 - [Name of sub-vote]</v>
      </c>
      <c r="E100" s="932"/>
    </row>
    <row r="101" spans="2:5" x14ac:dyDescent="0.2">
      <c r="B101" s="933" t="s">
        <v>687</v>
      </c>
      <c r="C101" s="928" t="s">
        <v>1330</v>
      </c>
      <c r="E101" s="932"/>
    </row>
    <row r="102" spans="2:5" x14ac:dyDescent="0.2">
      <c r="B102" s="930">
        <v>10.1</v>
      </c>
      <c r="C102" s="931" t="s">
        <v>1318</v>
      </c>
      <c r="D102" s="926" t="str">
        <f t="shared" ref="D102:D111" si="9">CONCATENATE(B102, " - ", C102)</f>
        <v>10.1 - [Name of sub-vote]</v>
      </c>
      <c r="E102" s="932" t="s">
        <v>1331</v>
      </c>
    </row>
    <row r="103" spans="2:5" x14ac:dyDescent="0.2">
      <c r="B103" s="930">
        <v>10.199999999999999</v>
      </c>
      <c r="C103" s="931" t="s">
        <v>1318</v>
      </c>
      <c r="D103" s="926" t="str">
        <f t="shared" si="9"/>
        <v>10.2 - [Name of sub-vote]</v>
      </c>
      <c r="E103" s="932"/>
    </row>
    <row r="104" spans="2:5" x14ac:dyDescent="0.2">
      <c r="B104" s="930">
        <v>10.3</v>
      </c>
      <c r="C104" s="931" t="s">
        <v>1318</v>
      </c>
      <c r="D104" s="926" t="str">
        <f t="shared" si="9"/>
        <v>10.3 - [Name of sub-vote]</v>
      </c>
      <c r="E104" s="932"/>
    </row>
    <row r="105" spans="2:5" x14ac:dyDescent="0.2">
      <c r="B105" s="930">
        <v>10.4</v>
      </c>
      <c r="C105" s="931" t="s">
        <v>1318</v>
      </c>
      <c r="D105" s="926" t="str">
        <f t="shared" si="9"/>
        <v>10.4 - [Name of sub-vote]</v>
      </c>
      <c r="E105" s="932"/>
    </row>
    <row r="106" spans="2:5" x14ac:dyDescent="0.2">
      <c r="B106" s="930">
        <v>10.5</v>
      </c>
      <c r="C106" s="931" t="s">
        <v>1318</v>
      </c>
      <c r="D106" s="926" t="str">
        <f t="shared" si="9"/>
        <v>10.5 - [Name of sub-vote]</v>
      </c>
      <c r="E106" s="932"/>
    </row>
    <row r="107" spans="2:5" x14ac:dyDescent="0.2">
      <c r="B107" s="930">
        <v>10.6</v>
      </c>
      <c r="C107" s="931" t="s">
        <v>1318</v>
      </c>
      <c r="D107" s="926" t="str">
        <f t="shared" si="9"/>
        <v>10.6 - [Name of sub-vote]</v>
      </c>
      <c r="E107" s="932"/>
    </row>
    <row r="108" spans="2:5" x14ac:dyDescent="0.2">
      <c r="B108" s="930">
        <v>10.7</v>
      </c>
      <c r="C108" s="931" t="s">
        <v>1318</v>
      </c>
      <c r="D108" s="926" t="str">
        <f t="shared" si="9"/>
        <v>10.7 - [Name of sub-vote]</v>
      </c>
      <c r="E108" s="932"/>
    </row>
    <row r="109" spans="2:5" x14ac:dyDescent="0.2">
      <c r="B109" s="930">
        <v>10.8</v>
      </c>
      <c r="C109" s="931" t="s">
        <v>1318</v>
      </c>
      <c r="D109" s="926" t="str">
        <f t="shared" si="9"/>
        <v>10.8 - [Name of sub-vote]</v>
      </c>
      <c r="E109" s="932"/>
    </row>
    <row r="110" spans="2:5" x14ac:dyDescent="0.2">
      <c r="B110" s="930">
        <v>10.9</v>
      </c>
      <c r="C110" s="931" t="s">
        <v>1318</v>
      </c>
      <c r="D110" s="926" t="str">
        <f t="shared" si="9"/>
        <v>10.9 - [Name of sub-vote]</v>
      </c>
      <c r="E110" s="932"/>
    </row>
    <row r="111" spans="2:5" x14ac:dyDescent="0.2">
      <c r="B111" s="930" t="s">
        <v>1332</v>
      </c>
      <c r="C111" s="931" t="s">
        <v>1318</v>
      </c>
      <c r="D111" s="926" t="str">
        <f t="shared" si="9"/>
        <v>10.10 - [Name of sub-vote]</v>
      </c>
      <c r="E111" s="932"/>
    </row>
    <row r="112" spans="2:5" x14ac:dyDescent="0.2">
      <c r="B112" s="933" t="s">
        <v>688</v>
      </c>
      <c r="C112" s="928" t="s">
        <v>1333</v>
      </c>
      <c r="E112" s="932"/>
    </row>
    <row r="113" spans="2:5" x14ac:dyDescent="0.2">
      <c r="B113" s="930">
        <v>11.1</v>
      </c>
      <c r="C113" s="931" t="s">
        <v>1318</v>
      </c>
      <c r="D113" s="926" t="str">
        <f t="shared" ref="D113:D122" si="10">CONCATENATE(B113, " - ", C113)</f>
        <v>11.1 - [Name of sub-vote]</v>
      </c>
      <c r="E113" s="932" t="s">
        <v>1334</v>
      </c>
    </row>
    <row r="114" spans="2:5" x14ac:dyDescent="0.2">
      <c r="B114" s="930">
        <v>11.2</v>
      </c>
      <c r="C114" s="931" t="s">
        <v>1318</v>
      </c>
      <c r="D114" s="926" t="str">
        <f t="shared" si="10"/>
        <v>11.2 - [Name of sub-vote]</v>
      </c>
      <c r="E114" s="932"/>
    </row>
    <row r="115" spans="2:5" x14ac:dyDescent="0.2">
      <c r="B115" s="930">
        <v>11.3</v>
      </c>
      <c r="C115" s="931" t="s">
        <v>1318</v>
      </c>
      <c r="D115" s="926" t="str">
        <f t="shared" si="10"/>
        <v>11.3 - [Name of sub-vote]</v>
      </c>
      <c r="E115" s="932"/>
    </row>
    <row r="116" spans="2:5" x14ac:dyDescent="0.2">
      <c r="B116" s="930">
        <v>11.4</v>
      </c>
      <c r="C116" s="931" t="s">
        <v>1318</v>
      </c>
      <c r="D116" s="926" t="str">
        <f t="shared" si="10"/>
        <v>11.4 - [Name of sub-vote]</v>
      </c>
      <c r="E116" s="932"/>
    </row>
    <row r="117" spans="2:5" x14ac:dyDescent="0.2">
      <c r="B117" s="930">
        <v>11.5</v>
      </c>
      <c r="C117" s="931" t="s">
        <v>1318</v>
      </c>
      <c r="D117" s="926" t="str">
        <f t="shared" si="10"/>
        <v>11.5 - [Name of sub-vote]</v>
      </c>
      <c r="E117" s="932"/>
    </row>
    <row r="118" spans="2:5" x14ac:dyDescent="0.2">
      <c r="B118" s="930">
        <v>11.6</v>
      </c>
      <c r="C118" s="931" t="s">
        <v>1318</v>
      </c>
      <c r="D118" s="926" t="str">
        <f t="shared" si="10"/>
        <v>11.6 - [Name of sub-vote]</v>
      </c>
      <c r="E118" s="932"/>
    </row>
    <row r="119" spans="2:5" x14ac:dyDescent="0.2">
      <c r="B119" s="930">
        <v>11.7</v>
      </c>
      <c r="C119" s="931" t="s">
        <v>1318</v>
      </c>
      <c r="D119" s="926" t="str">
        <f t="shared" si="10"/>
        <v>11.7 - [Name of sub-vote]</v>
      </c>
      <c r="E119" s="932"/>
    </row>
    <row r="120" spans="2:5" x14ac:dyDescent="0.2">
      <c r="B120" s="930">
        <v>11.8</v>
      </c>
      <c r="C120" s="931" t="s">
        <v>1318</v>
      </c>
      <c r="D120" s="926" t="str">
        <f t="shared" si="10"/>
        <v>11.8 - [Name of sub-vote]</v>
      </c>
      <c r="E120" s="932"/>
    </row>
    <row r="121" spans="2:5" x14ac:dyDescent="0.2">
      <c r="B121" s="930">
        <v>11.9</v>
      </c>
      <c r="C121" s="931" t="s">
        <v>1318</v>
      </c>
      <c r="D121" s="926" t="str">
        <f t="shared" si="10"/>
        <v>11.9 - [Name of sub-vote]</v>
      </c>
      <c r="E121" s="932"/>
    </row>
    <row r="122" spans="2:5" x14ac:dyDescent="0.2">
      <c r="B122" s="930" t="s">
        <v>1335</v>
      </c>
      <c r="C122" s="931" t="s">
        <v>1318</v>
      </c>
      <c r="D122" s="926" t="str">
        <f t="shared" si="10"/>
        <v>11.10 - [Name of sub-vote]</v>
      </c>
      <c r="E122" s="932"/>
    </row>
    <row r="123" spans="2:5" x14ac:dyDescent="0.2">
      <c r="B123" s="933" t="s">
        <v>689</v>
      </c>
      <c r="C123" s="928" t="s">
        <v>1336</v>
      </c>
      <c r="E123" s="932"/>
    </row>
    <row r="124" spans="2:5" x14ac:dyDescent="0.2">
      <c r="B124" s="930">
        <v>12.1</v>
      </c>
      <c r="C124" s="931" t="s">
        <v>1318</v>
      </c>
      <c r="D124" s="926" t="str">
        <f t="shared" ref="D124:D133" si="11">CONCATENATE(B124, " - ", C124)</f>
        <v>12.1 - [Name of sub-vote]</v>
      </c>
      <c r="E124" s="932" t="s">
        <v>1337</v>
      </c>
    </row>
    <row r="125" spans="2:5" x14ac:dyDescent="0.2">
      <c r="B125" s="930">
        <v>12.2</v>
      </c>
      <c r="C125" s="931" t="s">
        <v>1318</v>
      </c>
      <c r="D125" s="926" t="str">
        <f t="shared" si="11"/>
        <v>12.2 - [Name of sub-vote]</v>
      </c>
      <c r="E125" s="932"/>
    </row>
    <row r="126" spans="2:5" x14ac:dyDescent="0.2">
      <c r="B126" s="930">
        <v>12.3</v>
      </c>
      <c r="C126" s="931" t="s">
        <v>1318</v>
      </c>
      <c r="D126" s="926" t="str">
        <f t="shared" si="11"/>
        <v>12.3 - [Name of sub-vote]</v>
      </c>
      <c r="E126" s="932"/>
    </row>
    <row r="127" spans="2:5" x14ac:dyDescent="0.2">
      <c r="B127" s="930">
        <v>12.4</v>
      </c>
      <c r="C127" s="931" t="s">
        <v>1318</v>
      </c>
      <c r="D127" s="926" t="str">
        <f t="shared" si="11"/>
        <v>12.4 - [Name of sub-vote]</v>
      </c>
      <c r="E127" s="932"/>
    </row>
    <row r="128" spans="2:5" x14ac:dyDescent="0.2">
      <c r="B128" s="930">
        <v>12.5</v>
      </c>
      <c r="C128" s="931" t="s">
        <v>1318</v>
      </c>
      <c r="D128" s="926" t="str">
        <f t="shared" si="11"/>
        <v>12.5 - [Name of sub-vote]</v>
      </c>
      <c r="E128" s="932"/>
    </row>
    <row r="129" spans="2:5" x14ac:dyDescent="0.2">
      <c r="B129" s="930">
        <v>12.6</v>
      </c>
      <c r="C129" s="931" t="s">
        <v>1318</v>
      </c>
      <c r="D129" s="926" t="str">
        <f t="shared" si="11"/>
        <v>12.6 - [Name of sub-vote]</v>
      </c>
      <c r="E129" s="932"/>
    </row>
    <row r="130" spans="2:5" x14ac:dyDescent="0.2">
      <c r="B130" s="930">
        <v>12.7</v>
      </c>
      <c r="C130" s="931" t="s">
        <v>1318</v>
      </c>
      <c r="D130" s="926" t="str">
        <f t="shared" si="11"/>
        <v>12.7 - [Name of sub-vote]</v>
      </c>
      <c r="E130" s="932"/>
    </row>
    <row r="131" spans="2:5" x14ac:dyDescent="0.2">
      <c r="B131" s="930">
        <v>12.8</v>
      </c>
      <c r="C131" s="931" t="s">
        <v>1318</v>
      </c>
      <c r="D131" s="926" t="str">
        <f t="shared" si="11"/>
        <v>12.8 - [Name of sub-vote]</v>
      </c>
      <c r="E131" s="932"/>
    </row>
    <row r="132" spans="2:5" x14ac:dyDescent="0.2">
      <c r="B132" s="930">
        <v>12.9</v>
      </c>
      <c r="C132" s="931" t="s">
        <v>1318</v>
      </c>
      <c r="D132" s="926" t="str">
        <f t="shared" si="11"/>
        <v>12.9 - [Name of sub-vote]</v>
      </c>
      <c r="E132" s="932"/>
    </row>
    <row r="133" spans="2:5" x14ac:dyDescent="0.2">
      <c r="B133" s="930" t="s">
        <v>1338</v>
      </c>
      <c r="C133" s="931" t="s">
        <v>1318</v>
      </c>
      <c r="D133" s="926" t="str">
        <f t="shared" si="11"/>
        <v>12.10 - [Name of sub-vote]</v>
      </c>
      <c r="E133" s="932"/>
    </row>
    <row r="134" spans="2:5" x14ac:dyDescent="0.2">
      <c r="B134" s="933" t="s">
        <v>690</v>
      </c>
      <c r="C134" s="928" t="s">
        <v>1339</v>
      </c>
      <c r="E134" s="932"/>
    </row>
    <row r="135" spans="2:5" x14ac:dyDescent="0.2">
      <c r="B135" s="930">
        <v>13.1</v>
      </c>
      <c r="C135" s="931" t="s">
        <v>1318</v>
      </c>
      <c r="D135" s="926" t="str">
        <f t="shared" ref="D135:D144" si="12">CONCATENATE(B135, " - ", C135)</f>
        <v>13.1 - [Name of sub-vote]</v>
      </c>
      <c r="E135" s="932" t="s">
        <v>1340</v>
      </c>
    </row>
    <row r="136" spans="2:5" x14ac:dyDescent="0.2">
      <c r="B136" s="930">
        <v>13.2</v>
      </c>
      <c r="C136" s="931" t="s">
        <v>1318</v>
      </c>
      <c r="D136" s="926" t="str">
        <f t="shared" si="12"/>
        <v>13.2 - [Name of sub-vote]</v>
      </c>
      <c r="E136" s="932"/>
    </row>
    <row r="137" spans="2:5" x14ac:dyDescent="0.2">
      <c r="B137" s="930">
        <v>13.3</v>
      </c>
      <c r="C137" s="931" t="s">
        <v>1318</v>
      </c>
      <c r="D137" s="926" t="str">
        <f t="shared" si="12"/>
        <v>13.3 - [Name of sub-vote]</v>
      </c>
      <c r="E137" s="932"/>
    </row>
    <row r="138" spans="2:5" x14ac:dyDescent="0.2">
      <c r="B138" s="930">
        <v>13.4</v>
      </c>
      <c r="C138" s="931" t="s">
        <v>1318</v>
      </c>
      <c r="D138" s="926" t="str">
        <f t="shared" si="12"/>
        <v>13.4 - [Name of sub-vote]</v>
      </c>
      <c r="E138" s="932"/>
    </row>
    <row r="139" spans="2:5" x14ac:dyDescent="0.2">
      <c r="B139" s="930">
        <v>13.5</v>
      </c>
      <c r="C139" s="931" t="s">
        <v>1318</v>
      </c>
      <c r="D139" s="926" t="str">
        <f t="shared" si="12"/>
        <v>13.5 - [Name of sub-vote]</v>
      </c>
      <c r="E139" s="932"/>
    </row>
    <row r="140" spans="2:5" x14ac:dyDescent="0.2">
      <c r="B140" s="930">
        <v>13.6</v>
      </c>
      <c r="C140" s="931" t="s">
        <v>1318</v>
      </c>
      <c r="D140" s="926" t="str">
        <f t="shared" si="12"/>
        <v>13.6 - [Name of sub-vote]</v>
      </c>
      <c r="E140" s="932"/>
    </row>
    <row r="141" spans="2:5" x14ac:dyDescent="0.2">
      <c r="B141" s="930">
        <v>13.7</v>
      </c>
      <c r="C141" s="931" t="s">
        <v>1318</v>
      </c>
      <c r="D141" s="926" t="str">
        <f t="shared" si="12"/>
        <v>13.7 - [Name of sub-vote]</v>
      </c>
      <c r="E141" s="932"/>
    </row>
    <row r="142" spans="2:5" x14ac:dyDescent="0.2">
      <c r="B142" s="930">
        <v>13.8</v>
      </c>
      <c r="C142" s="931" t="s">
        <v>1318</v>
      </c>
      <c r="D142" s="926" t="str">
        <f t="shared" si="12"/>
        <v>13.8 - [Name of sub-vote]</v>
      </c>
      <c r="E142" s="932"/>
    </row>
    <row r="143" spans="2:5" x14ac:dyDescent="0.2">
      <c r="B143" s="930">
        <v>13.9</v>
      </c>
      <c r="C143" s="931" t="s">
        <v>1318</v>
      </c>
      <c r="D143" s="926" t="str">
        <f t="shared" si="12"/>
        <v>13.9 - [Name of sub-vote]</v>
      </c>
      <c r="E143" s="932"/>
    </row>
    <row r="144" spans="2:5" x14ac:dyDescent="0.2">
      <c r="B144" s="930" t="s">
        <v>1341</v>
      </c>
      <c r="C144" s="931" t="s">
        <v>1318</v>
      </c>
      <c r="D144" s="926" t="str">
        <f t="shared" si="12"/>
        <v>13.10 - [Name of sub-vote]</v>
      </c>
      <c r="E144" s="932"/>
    </row>
    <row r="145" spans="2:5" x14ac:dyDescent="0.2">
      <c r="B145" s="933" t="s">
        <v>691</v>
      </c>
      <c r="C145" s="928" t="s">
        <v>1342</v>
      </c>
      <c r="E145" s="932"/>
    </row>
    <row r="146" spans="2:5" x14ac:dyDescent="0.2">
      <c r="B146" s="930">
        <v>14.1</v>
      </c>
      <c r="C146" s="931" t="s">
        <v>1318</v>
      </c>
      <c r="D146" s="926" t="str">
        <f t="shared" ref="D146:D155" si="13">CONCATENATE(B146, " - ", C146)</f>
        <v>14.1 - [Name of sub-vote]</v>
      </c>
      <c r="E146" s="932" t="s">
        <v>1343</v>
      </c>
    </row>
    <row r="147" spans="2:5" x14ac:dyDescent="0.2">
      <c r="B147" s="930">
        <v>14.2</v>
      </c>
      <c r="C147" s="931" t="s">
        <v>1318</v>
      </c>
      <c r="D147" s="926" t="str">
        <f t="shared" si="13"/>
        <v>14.2 - [Name of sub-vote]</v>
      </c>
      <c r="E147" s="932"/>
    </row>
    <row r="148" spans="2:5" x14ac:dyDescent="0.2">
      <c r="B148" s="930">
        <v>14.3</v>
      </c>
      <c r="C148" s="931" t="s">
        <v>1318</v>
      </c>
      <c r="D148" s="926" t="str">
        <f t="shared" si="13"/>
        <v>14.3 - [Name of sub-vote]</v>
      </c>
      <c r="E148" s="932"/>
    </row>
    <row r="149" spans="2:5" x14ac:dyDescent="0.2">
      <c r="B149" s="930">
        <v>14.4</v>
      </c>
      <c r="C149" s="931" t="s">
        <v>1318</v>
      </c>
      <c r="D149" s="926" t="str">
        <f t="shared" si="13"/>
        <v>14.4 - [Name of sub-vote]</v>
      </c>
      <c r="E149" s="932"/>
    </row>
    <row r="150" spans="2:5" x14ac:dyDescent="0.2">
      <c r="B150" s="930">
        <v>14.5</v>
      </c>
      <c r="C150" s="931" t="s">
        <v>1318</v>
      </c>
      <c r="D150" s="926" t="str">
        <f t="shared" si="13"/>
        <v>14.5 - [Name of sub-vote]</v>
      </c>
      <c r="E150" s="932"/>
    </row>
    <row r="151" spans="2:5" x14ac:dyDescent="0.2">
      <c r="B151" s="930">
        <v>14.6</v>
      </c>
      <c r="C151" s="931" t="s">
        <v>1318</v>
      </c>
      <c r="D151" s="926" t="str">
        <f t="shared" si="13"/>
        <v>14.6 - [Name of sub-vote]</v>
      </c>
      <c r="E151" s="932"/>
    </row>
    <row r="152" spans="2:5" x14ac:dyDescent="0.2">
      <c r="B152" s="930">
        <v>14.7</v>
      </c>
      <c r="C152" s="931" t="s">
        <v>1318</v>
      </c>
      <c r="D152" s="926" t="str">
        <f t="shared" si="13"/>
        <v>14.7 - [Name of sub-vote]</v>
      </c>
      <c r="E152" s="932"/>
    </row>
    <row r="153" spans="2:5" x14ac:dyDescent="0.2">
      <c r="B153" s="930">
        <v>14.8</v>
      </c>
      <c r="C153" s="931" t="s">
        <v>1318</v>
      </c>
      <c r="D153" s="926" t="str">
        <f t="shared" si="13"/>
        <v>14.8 - [Name of sub-vote]</v>
      </c>
      <c r="E153" s="932"/>
    </row>
    <row r="154" spans="2:5" x14ac:dyDescent="0.2">
      <c r="B154" s="930">
        <v>14.9</v>
      </c>
      <c r="C154" s="931" t="s">
        <v>1318</v>
      </c>
      <c r="D154" s="926" t="str">
        <f t="shared" si="13"/>
        <v>14.9 - [Name of sub-vote]</v>
      </c>
      <c r="E154" s="932"/>
    </row>
    <row r="155" spans="2:5" x14ac:dyDescent="0.2">
      <c r="B155" s="930" t="s">
        <v>1344</v>
      </c>
      <c r="C155" s="931" t="s">
        <v>1318</v>
      </c>
      <c r="D155" s="926" t="str">
        <f t="shared" si="13"/>
        <v>14.10 - [Name of sub-vote]</v>
      </c>
      <c r="E155" s="932"/>
    </row>
    <row r="156" spans="2:5" x14ac:dyDescent="0.2">
      <c r="B156" s="933" t="s">
        <v>692</v>
      </c>
      <c r="C156" s="928" t="s">
        <v>1345</v>
      </c>
      <c r="E156" s="932"/>
    </row>
    <row r="157" spans="2:5" x14ac:dyDescent="0.2">
      <c r="B157" s="930">
        <v>15.1</v>
      </c>
      <c r="C157" s="931" t="s">
        <v>1318</v>
      </c>
      <c r="D157" s="926" t="str">
        <f t="shared" ref="D157:D166" si="14">CONCATENATE(B157, " - ", C157)</f>
        <v>15.1 - [Name of sub-vote]</v>
      </c>
      <c r="E157" s="932" t="s">
        <v>1346</v>
      </c>
    </row>
    <row r="158" spans="2:5" x14ac:dyDescent="0.2">
      <c r="B158" s="930">
        <v>15.2</v>
      </c>
      <c r="C158" s="931" t="s">
        <v>1318</v>
      </c>
      <c r="D158" s="926" t="str">
        <f t="shared" si="14"/>
        <v>15.2 - [Name of sub-vote]</v>
      </c>
      <c r="E158" s="932"/>
    </row>
    <row r="159" spans="2:5" x14ac:dyDescent="0.2">
      <c r="B159" s="930">
        <v>15.3</v>
      </c>
      <c r="C159" s="931" t="s">
        <v>1318</v>
      </c>
      <c r="D159" s="926" t="str">
        <f t="shared" si="14"/>
        <v>15.3 - [Name of sub-vote]</v>
      </c>
      <c r="E159" s="932"/>
    </row>
    <row r="160" spans="2:5" x14ac:dyDescent="0.2">
      <c r="B160" s="930">
        <v>15.4</v>
      </c>
      <c r="C160" s="931" t="s">
        <v>1318</v>
      </c>
      <c r="D160" s="926" t="str">
        <f t="shared" si="14"/>
        <v>15.4 - [Name of sub-vote]</v>
      </c>
      <c r="E160" s="932"/>
    </row>
    <row r="161" spans="2:5" x14ac:dyDescent="0.2">
      <c r="B161" s="930">
        <v>15.5</v>
      </c>
      <c r="C161" s="931" t="s">
        <v>1318</v>
      </c>
      <c r="D161" s="926" t="str">
        <f t="shared" si="14"/>
        <v>15.5 - [Name of sub-vote]</v>
      </c>
      <c r="E161" s="932"/>
    </row>
    <row r="162" spans="2:5" x14ac:dyDescent="0.2">
      <c r="B162" s="930">
        <v>15.6</v>
      </c>
      <c r="C162" s="931" t="s">
        <v>1318</v>
      </c>
      <c r="D162" s="926" t="str">
        <f t="shared" si="14"/>
        <v>15.6 - [Name of sub-vote]</v>
      </c>
      <c r="E162" s="932"/>
    </row>
    <row r="163" spans="2:5" x14ac:dyDescent="0.2">
      <c r="B163" s="930">
        <v>15.7</v>
      </c>
      <c r="C163" s="931" t="s">
        <v>1318</v>
      </c>
      <c r="D163" s="926" t="str">
        <f t="shared" si="14"/>
        <v>15.7 - [Name of sub-vote]</v>
      </c>
      <c r="E163" s="932"/>
    </row>
    <row r="164" spans="2:5" x14ac:dyDescent="0.2">
      <c r="B164" s="930">
        <v>15.8</v>
      </c>
      <c r="C164" s="931" t="s">
        <v>1318</v>
      </c>
      <c r="D164" s="926" t="str">
        <f t="shared" si="14"/>
        <v>15.8 - [Name of sub-vote]</v>
      </c>
      <c r="E164" s="932"/>
    </row>
    <row r="165" spans="2:5" x14ac:dyDescent="0.2">
      <c r="B165" s="930">
        <v>15.9</v>
      </c>
      <c r="C165" s="931" t="s">
        <v>1318</v>
      </c>
      <c r="D165" s="926" t="str">
        <f t="shared" si="14"/>
        <v>15.9 - [Name of sub-vote]</v>
      </c>
      <c r="E165" s="932"/>
    </row>
    <row r="166" spans="2:5" x14ac:dyDescent="0.2">
      <c r="B166" s="930" t="s">
        <v>1347</v>
      </c>
      <c r="C166" s="931" t="s">
        <v>1318</v>
      </c>
      <c r="D166" s="926" t="str">
        <f t="shared" si="14"/>
        <v>15.10 - [Name of sub-vote]</v>
      </c>
      <c r="E166" s="932"/>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abSelected="1" topLeftCell="A94" zoomScaleNormal="100" workbookViewId="0">
      <selection activeCell="B110" sqref="B110:B116"/>
    </sheetView>
  </sheetViews>
  <sheetFormatPr defaultRowHeight="12.75" x14ac:dyDescent="0.2"/>
  <cols>
    <col min="1" max="1" width="20.7109375" style="939" customWidth="1"/>
    <col min="2" max="2" width="40.7109375" style="939" customWidth="1"/>
    <col min="3" max="3" width="20.7109375" style="939" customWidth="1"/>
    <col min="4" max="4" width="40.7109375" style="939" customWidth="1"/>
    <col min="5" max="5" width="8.7109375" style="939" customWidth="1"/>
    <col min="6" max="10" width="8.7109375" style="254" customWidth="1"/>
    <col min="11" max="15" width="12.7109375" style="254" customWidth="1"/>
    <col min="16" max="17" width="30.7109375" style="254" customWidth="1"/>
    <col min="18" max="16384" width="9.140625" style="940"/>
  </cols>
  <sheetData>
    <row r="1" spans="1:17" ht="13.5" customHeight="1" x14ac:dyDescent="0.3">
      <c r="A1" s="891" t="str">
        <f>'Template names'!$B$63&amp;" - "&amp;" Contact Information"</f>
        <v>LIM333 Greater Tzaneen -  Contact Information</v>
      </c>
      <c r="B1" s="938"/>
    </row>
    <row r="2" spans="1:17" ht="13.5" customHeight="1" x14ac:dyDescent="0.2">
      <c r="A2" s="941"/>
      <c r="B2" s="942"/>
      <c r="C2" s="941"/>
      <c r="D2" s="941"/>
    </row>
    <row r="3" spans="1:17" ht="13.5" customHeight="1" thickBot="1" x14ac:dyDescent="0.3">
      <c r="A3" s="943" t="s">
        <v>1243</v>
      </c>
      <c r="B3" s="944"/>
      <c r="C3" s="941"/>
      <c r="D3" s="941"/>
    </row>
    <row r="4" spans="1:17" ht="13.5" customHeight="1" thickTop="1" x14ac:dyDescent="0.2">
      <c r="A4" s="945" t="s">
        <v>1244</v>
      </c>
      <c r="B4" s="946" t="str">
        <f>'Template names'!$B$63</f>
        <v>LIM333 Greater Tzaneen</v>
      </c>
      <c r="C4" s="947" t="s">
        <v>782</v>
      </c>
      <c r="D4" s="948"/>
      <c r="F4" s="949"/>
      <c r="G4" s="949"/>
      <c r="H4" s="949"/>
      <c r="I4" s="950"/>
      <c r="J4" s="949"/>
      <c r="K4" s="951"/>
      <c r="L4" s="951"/>
      <c r="M4" s="951"/>
      <c r="N4" s="951"/>
      <c r="O4" s="951"/>
      <c r="P4" s="952"/>
      <c r="Q4" s="953"/>
    </row>
    <row r="5" spans="1:17" ht="13.5" customHeight="1" x14ac:dyDescent="0.2">
      <c r="A5" s="954"/>
      <c r="B5" s="955"/>
      <c r="C5" s="948"/>
      <c r="D5" s="948"/>
      <c r="F5" s="949"/>
      <c r="G5" s="949"/>
      <c r="H5" s="949"/>
      <c r="I5" s="950"/>
      <c r="J5" s="949"/>
      <c r="K5" s="951"/>
      <c r="L5" s="951"/>
      <c r="M5" s="951"/>
      <c r="N5" s="951"/>
      <c r="O5" s="951"/>
      <c r="P5" s="952"/>
      <c r="Q5" s="956"/>
    </row>
    <row r="6" spans="1:17" s="962" customFormat="1" ht="13.5" customHeight="1" x14ac:dyDescent="0.25">
      <c r="A6" s="957" t="s">
        <v>1245</v>
      </c>
      <c r="B6" s="958"/>
      <c r="C6" s="959" t="s">
        <v>1246</v>
      </c>
      <c r="D6" s="960"/>
      <c r="E6" s="961"/>
      <c r="F6" s="949"/>
      <c r="G6" s="949"/>
      <c r="H6" s="950"/>
      <c r="I6" s="950"/>
      <c r="J6" s="949"/>
      <c r="K6" s="951"/>
      <c r="L6" s="951"/>
      <c r="M6" s="951"/>
      <c r="N6" s="951"/>
      <c r="O6" s="951"/>
      <c r="P6" s="952"/>
      <c r="Q6" s="953"/>
    </row>
    <row r="7" spans="1:17" s="962" customFormat="1" ht="13.5" customHeight="1" x14ac:dyDescent="0.2">
      <c r="A7" s="963"/>
      <c r="B7" s="964"/>
      <c r="C7" s="960"/>
      <c r="D7" s="960"/>
      <c r="E7" s="961"/>
      <c r="F7" s="949"/>
      <c r="G7" s="949"/>
      <c r="H7" s="950"/>
      <c r="I7" s="950"/>
      <c r="J7" s="949"/>
      <c r="K7" s="951"/>
      <c r="L7" s="951"/>
      <c r="M7" s="951"/>
      <c r="N7" s="951"/>
      <c r="O7" s="951"/>
      <c r="P7" s="952"/>
      <c r="Q7" s="953"/>
    </row>
    <row r="8" spans="1:17" s="962" customFormat="1" ht="13.5" customHeight="1" x14ac:dyDescent="0.2">
      <c r="A8" s="965" t="s">
        <v>1247</v>
      </c>
      <c r="B8" s="966" t="str">
        <f>IF(B4&gt;" ",VLOOKUP(B4,'Lookup and lists'!B29:C312,2, FALSE)," ")</f>
        <v>LIM LIMPOPO</v>
      </c>
      <c r="C8" s="1373"/>
      <c r="D8" s="1373"/>
      <c r="E8" s="961"/>
      <c r="F8" s="949"/>
      <c r="G8" s="949"/>
      <c r="H8" s="950"/>
      <c r="I8" s="950"/>
      <c r="J8" s="949"/>
      <c r="K8" s="951"/>
      <c r="L8" s="951"/>
      <c r="M8" s="951"/>
      <c r="N8" s="951"/>
      <c r="O8" s="951"/>
      <c r="P8" s="952"/>
      <c r="Q8" s="953"/>
    </row>
    <row r="9" spans="1:17" s="962" customFormat="1" ht="13.5" customHeight="1" x14ac:dyDescent="0.2">
      <c r="A9" s="968"/>
      <c r="B9" s="969"/>
      <c r="C9" s="967"/>
      <c r="D9" s="967"/>
      <c r="E9" s="961"/>
      <c r="F9" s="949"/>
      <c r="G9" s="949"/>
      <c r="H9" s="950"/>
      <c r="I9" s="950"/>
      <c r="J9" s="949"/>
      <c r="K9" s="951"/>
      <c r="L9" s="951"/>
      <c r="M9" s="951"/>
      <c r="N9" s="951"/>
      <c r="O9" s="951"/>
      <c r="P9" s="952"/>
      <c r="Q9" s="953"/>
    </row>
    <row r="10" spans="1:17" ht="13.5" customHeight="1" x14ac:dyDescent="0.2">
      <c r="A10" s="970" t="s">
        <v>1248</v>
      </c>
      <c r="B10" s="971" t="s">
        <v>2410</v>
      </c>
      <c r="C10" s="972"/>
      <c r="D10" s="973"/>
      <c r="F10" s="950"/>
      <c r="G10" s="949"/>
      <c r="H10" s="950"/>
      <c r="I10" s="950"/>
      <c r="J10" s="949"/>
      <c r="K10" s="951"/>
      <c r="L10" s="951"/>
      <c r="M10" s="951"/>
      <c r="N10" s="951"/>
      <c r="O10" s="951"/>
      <c r="P10" s="952"/>
      <c r="Q10" s="953"/>
    </row>
    <row r="11" spans="1:17" ht="13.5" customHeight="1" x14ac:dyDescent="0.2">
      <c r="A11" s="974"/>
      <c r="B11" s="975"/>
      <c r="C11" s="1374"/>
      <c r="D11" s="1375"/>
      <c r="F11" s="950"/>
      <c r="G11" s="949"/>
      <c r="H11" s="950"/>
      <c r="I11" s="950"/>
      <c r="J11" s="949"/>
      <c r="K11" s="951"/>
      <c r="L11" s="951"/>
      <c r="M11" s="951"/>
      <c r="N11" s="951"/>
      <c r="O11" s="951"/>
      <c r="P11" s="952"/>
      <c r="Q11" s="956"/>
    </row>
    <row r="12" spans="1:17" ht="13.5" customHeight="1" x14ac:dyDescent="0.2">
      <c r="A12" s="970" t="s">
        <v>1249</v>
      </c>
      <c r="B12" s="976"/>
      <c r="C12" s="977"/>
      <c r="D12" s="977"/>
      <c r="F12" s="950"/>
      <c r="G12" s="950"/>
      <c r="H12" s="950"/>
      <c r="I12" s="950"/>
      <c r="J12" s="949"/>
      <c r="K12" s="951"/>
      <c r="L12" s="951"/>
      <c r="M12" s="951"/>
      <c r="N12" s="951"/>
      <c r="O12" s="951"/>
      <c r="P12" s="952"/>
      <c r="Q12" s="953"/>
    </row>
    <row r="13" spans="1:17" ht="13.5" customHeight="1" x14ac:dyDescent="0.2">
      <c r="A13" s="978"/>
      <c r="B13" s="979"/>
      <c r="C13" s="1376"/>
      <c r="D13" s="1376"/>
      <c r="F13" s="950"/>
      <c r="G13" s="950"/>
      <c r="H13" s="950"/>
      <c r="I13" s="980"/>
      <c r="J13" s="950"/>
      <c r="K13" s="951"/>
      <c r="L13" s="951"/>
      <c r="M13" s="951"/>
      <c r="N13" s="951"/>
      <c r="O13" s="951"/>
      <c r="P13" s="952"/>
    </row>
    <row r="14" spans="1:17" ht="13.5" customHeight="1" thickBot="1" x14ac:dyDescent="0.25">
      <c r="A14" s="1377" t="s">
        <v>1250</v>
      </c>
      <c r="B14" s="1378"/>
      <c r="C14" s="961"/>
      <c r="D14" s="961"/>
      <c r="F14" s="950"/>
      <c r="G14" s="950"/>
      <c r="H14" s="980"/>
      <c r="I14" s="981"/>
      <c r="J14" s="950"/>
      <c r="K14" s="951"/>
      <c r="L14" s="951"/>
      <c r="M14" s="951"/>
      <c r="N14" s="951"/>
      <c r="O14" s="951"/>
      <c r="P14" s="952"/>
    </row>
    <row r="15" spans="1:17" ht="13.5" customHeight="1" thickTop="1" x14ac:dyDescent="0.2">
      <c r="A15" s="982" t="s">
        <v>1251</v>
      </c>
      <c r="B15" s="983"/>
      <c r="F15" s="980"/>
      <c r="G15" s="950"/>
      <c r="H15" s="981"/>
      <c r="I15" s="981"/>
      <c r="J15" s="950"/>
      <c r="K15" s="951"/>
      <c r="L15" s="951"/>
      <c r="M15" s="951"/>
      <c r="N15" s="951"/>
      <c r="O15" s="951"/>
      <c r="P15" s="952"/>
    </row>
    <row r="16" spans="1:17" s="962" customFormat="1" ht="13.5" customHeight="1" x14ac:dyDescent="0.2">
      <c r="A16" s="984" t="s">
        <v>1252</v>
      </c>
      <c r="B16" s="1208" t="s">
        <v>2411</v>
      </c>
      <c r="C16" s="939"/>
      <c r="D16" s="939"/>
      <c r="E16" s="961"/>
      <c r="F16" s="981"/>
      <c r="G16" s="980"/>
      <c r="H16" s="981"/>
      <c r="I16" s="981"/>
      <c r="J16" s="950"/>
      <c r="K16" s="951"/>
      <c r="L16" s="951"/>
      <c r="M16" s="951"/>
      <c r="N16" s="951"/>
      <c r="O16" s="951"/>
      <c r="P16" s="952"/>
      <c r="Q16" s="254"/>
    </row>
    <row r="17" spans="1:17" ht="13.5" customHeight="1" x14ac:dyDescent="0.2">
      <c r="A17" s="984" t="s">
        <v>1253</v>
      </c>
      <c r="B17" s="1208" t="s">
        <v>2412</v>
      </c>
      <c r="F17" s="981"/>
      <c r="G17" s="981"/>
      <c r="H17" s="981"/>
      <c r="I17" s="981"/>
      <c r="J17" s="980"/>
      <c r="K17" s="951"/>
      <c r="L17" s="951"/>
      <c r="M17" s="951"/>
      <c r="N17" s="951"/>
      <c r="O17" s="951"/>
      <c r="P17" s="952"/>
    </row>
    <row r="18" spans="1:17" ht="13.5" customHeight="1" x14ac:dyDescent="0.2">
      <c r="A18" s="985" t="s">
        <v>1254</v>
      </c>
      <c r="B18" s="1219" t="s">
        <v>2413</v>
      </c>
      <c r="F18" s="981"/>
      <c r="G18" s="981"/>
      <c r="H18" s="981"/>
      <c r="I18" s="981"/>
      <c r="J18" s="981"/>
      <c r="K18" s="951"/>
      <c r="L18" s="951"/>
      <c r="M18" s="951"/>
      <c r="N18" s="951"/>
      <c r="O18" s="951"/>
      <c r="P18" s="952"/>
    </row>
    <row r="19" spans="1:17" ht="13.5" customHeight="1" x14ac:dyDescent="0.2">
      <c r="A19" s="986"/>
      <c r="B19" s="987"/>
      <c r="F19" s="981"/>
      <c r="G19" s="981"/>
      <c r="H19" s="981"/>
      <c r="I19" s="981"/>
      <c r="J19" s="981"/>
      <c r="K19" s="951"/>
      <c r="L19" s="951"/>
      <c r="M19" s="951"/>
      <c r="N19" s="951"/>
      <c r="O19" s="951"/>
      <c r="P19" s="952"/>
    </row>
    <row r="20" spans="1:17" ht="13.5" customHeight="1" x14ac:dyDescent="0.2">
      <c r="A20" s="988" t="s">
        <v>1255</v>
      </c>
      <c r="B20" s="989"/>
      <c r="F20" s="981"/>
      <c r="G20" s="981"/>
      <c r="H20" s="981"/>
      <c r="I20" s="981"/>
      <c r="J20" s="981"/>
      <c r="K20" s="951"/>
      <c r="L20" s="951"/>
      <c r="M20" s="951"/>
      <c r="N20" s="951"/>
      <c r="O20" s="951"/>
      <c r="P20" s="952"/>
    </row>
    <row r="21" spans="1:17" ht="13.5" customHeight="1" x14ac:dyDescent="0.2">
      <c r="A21" s="984" t="s">
        <v>1256</v>
      </c>
      <c r="B21" s="1208" t="s">
        <v>2414</v>
      </c>
      <c r="F21" s="981"/>
      <c r="G21" s="981"/>
      <c r="H21" s="981"/>
      <c r="I21" s="981"/>
      <c r="J21" s="981"/>
      <c r="K21" s="951"/>
      <c r="L21" s="951"/>
      <c r="M21" s="951"/>
      <c r="N21" s="951"/>
      <c r="O21" s="951"/>
      <c r="P21" s="952"/>
    </row>
    <row r="22" spans="1:17" ht="13.5" customHeight="1" x14ac:dyDescent="0.2">
      <c r="A22" s="984" t="s">
        <v>1257</v>
      </c>
      <c r="B22" s="1208" t="s">
        <v>2415</v>
      </c>
      <c r="F22" s="981"/>
      <c r="G22" s="981"/>
      <c r="H22" s="981"/>
      <c r="I22" s="981"/>
      <c r="J22" s="981"/>
      <c r="K22" s="951"/>
      <c r="L22" s="951"/>
      <c r="M22" s="951"/>
      <c r="N22" s="951"/>
      <c r="O22" s="951"/>
      <c r="P22" s="952"/>
    </row>
    <row r="23" spans="1:17" ht="13.5" customHeight="1" x14ac:dyDescent="0.2">
      <c r="A23" s="984" t="s">
        <v>1253</v>
      </c>
      <c r="B23" s="1208" t="s">
        <v>2412</v>
      </c>
      <c r="F23" s="981"/>
      <c r="G23" s="981"/>
      <c r="H23" s="981"/>
      <c r="I23" s="981"/>
      <c r="J23" s="981"/>
      <c r="K23" s="951"/>
      <c r="L23" s="951"/>
      <c r="M23" s="951"/>
      <c r="N23" s="951"/>
      <c r="O23" s="951"/>
      <c r="P23" s="952"/>
    </row>
    <row r="24" spans="1:17" ht="13.5" customHeight="1" x14ac:dyDescent="0.2">
      <c r="A24" s="985" t="s">
        <v>1254</v>
      </c>
      <c r="B24" s="1219" t="s">
        <v>2413</v>
      </c>
      <c r="F24" s="981"/>
      <c r="G24" s="981"/>
      <c r="H24" s="981"/>
      <c r="I24" s="981"/>
      <c r="J24" s="981"/>
      <c r="K24" s="951"/>
      <c r="L24" s="951"/>
      <c r="M24" s="951"/>
      <c r="N24" s="951"/>
      <c r="O24" s="951"/>
      <c r="P24" s="952"/>
    </row>
    <row r="25" spans="1:17" ht="13.5" customHeight="1" x14ac:dyDescent="0.2">
      <c r="A25" s="986"/>
      <c r="B25" s="987"/>
      <c r="F25" s="981"/>
      <c r="G25" s="981"/>
      <c r="H25" s="981"/>
      <c r="I25" s="981"/>
      <c r="J25" s="981"/>
      <c r="K25" s="951"/>
      <c r="L25" s="951"/>
      <c r="M25" s="951"/>
      <c r="N25" s="951"/>
      <c r="O25" s="951"/>
      <c r="P25" s="952"/>
    </row>
    <row r="26" spans="1:17" ht="13.5" customHeight="1" x14ac:dyDescent="0.2">
      <c r="A26" s="988" t="s">
        <v>1258</v>
      </c>
      <c r="B26" s="990"/>
      <c r="F26" s="981"/>
      <c r="G26" s="981"/>
      <c r="H26" s="981"/>
      <c r="I26" s="981"/>
      <c r="J26" s="981"/>
      <c r="K26" s="951"/>
      <c r="L26" s="951"/>
      <c r="M26" s="951"/>
      <c r="N26" s="951"/>
      <c r="O26" s="951"/>
      <c r="P26" s="952"/>
    </row>
    <row r="27" spans="1:17" ht="13.5" customHeight="1" x14ac:dyDescent="0.2">
      <c r="A27" s="984" t="s">
        <v>1259</v>
      </c>
      <c r="B27" s="1208" t="s">
        <v>2416</v>
      </c>
      <c r="F27" s="981"/>
      <c r="G27" s="981"/>
      <c r="H27" s="981"/>
      <c r="I27" s="981"/>
      <c r="J27" s="981"/>
      <c r="K27" s="951"/>
      <c r="L27" s="951"/>
      <c r="M27" s="951"/>
      <c r="N27" s="951"/>
      <c r="O27" s="951"/>
      <c r="P27" s="952"/>
    </row>
    <row r="28" spans="1:17" ht="13.5" customHeight="1" x14ac:dyDescent="0.2">
      <c r="A28" s="985" t="s">
        <v>1260</v>
      </c>
      <c r="B28" s="1219" t="s">
        <v>2417</v>
      </c>
      <c r="J28" s="981"/>
      <c r="K28" s="981"/>
      <c r="L28" s="981"/>
      <c r="M28" s="981"/>
      <c r="N28" s="981"/>
      <c r="O28" s="981"/>
      <c r="P28" s="952"/>
    </row>
    <row r="29" spans="1:17" ht="13.5" customHeight="1" x14ac:dyDescent="0.2">
      <c r="A29" s="986"/>
      <c r="B29" s="991"/>
      <c r="P29" s="952"/>
    </row>
    <row r="30" spans="1:17" s="1200" customFormat="1" ht="13.5" customHeight="1" thickBot="1" x14ac:dyDescent="0.25">
      <c r="A30" s="1379" t="s">
        <v>1261</v>
      </c>
      <c r="B30" s="1380"/>
      <c r="C30" s="1381"/>
      <c r="D30" s="1382"/>
      <c r="E30" s="1202"/>
      <c r="F30" s="1203"/>
      <c r="G30" s="1203"/>
      <c r="H30" s="1203"/>
      <c r="I30" s="707"/>
      <c r="J30" s="707"/>
      <c r="K30" s="707"/>
      <c r="L30" s="707"/>
      <c r="M30" s="707"/>
      <c r="N30" s="707"/>
      <c r="O30" s="707"/>
      <c r="P30" s="1204"/>
      <c r="Q30" s="1203"/>
    </row>
    <row r="31" spans="1:17" s="1200" customFormat="1" ht="13.5" customHeight="1" thickTop="1" x14ac:dyDescent="0.2">
      <c r="A31" s="1205" t="s">
        <v>1262</v>
      </c>
      <c r="B31" s="1206"/>
      <c r="C31" s="1369" t="s">
        <v>1263</v>
      </c>
      <c r="D31" s="1370"/>
      <c r="E31" s="1202"/>
      <c r="F31" s="1203"/>
      <c r="G31" s="1203"/>
      <c r="H31" s="1203"/>
      <c r="I31" s="707"/>
      <c r="J31" s="707"/>
      <c r="K31" s="707"/>
      <c r="L31" s="707"/>
      <c r="M31" s="707"/>
      <c r="N31" s="707"/>
      <c r="O31" s="707"/>
      <c r="P31" s="1204"/>
      <c r="Q31" s="1203"/>
    </row>
    <row r="32" spans="1:17" s="1200" customFormat="1" ht="13.5" customHeight="1" x14ac:dyDescent="0.2">
      <c r="A32" s="1207" t="s">
        <v>1493</v>
      </c>
      <c r="B32" s="1208" t="s">
        <v>2418</v>
      </c>
      <c r="C32" s="1207" t="s">
        <v>1493</v>
      </c>
      <c r="D32" s="1208" t="s">
        <v>2424</v>
      </c>
      <c r="E32" s="1202"/>
      <c r="F32" s="1203"/>
      <c r="G32" s="1203"/>
      <c r="H32" s="1203"/>
      <c r="I32" s="707"/>
      <c r="J32" s="707"/>
      <c r="K32" s="707"/>
      <c r="L32" s="707"/>
      <c r="M32" s="707"/>
      <c r="N32" s="707"/>
      <c r="O32" s="707"/>
      <c r="P32" s="1204"/>
      <c r="Q32" s="707"/>
    </row>
    <row r="33" spans="1:17" s="1200" customFormat="1" ht="13.5" customHeight="1" x14ac:dyDescent="0.2">
      <c r="A33" s="1207" t="s">
        <v>1494</v>
      </c>
      <c r="B33" s="1208" t="s">
        <v>2419</v>
      </c>
      <c r="C33" s="1207" t="s">
        <v>1494</v>
      </c>
      <c r="D33" s="1208" t="s">
        <v>2419</v>
      </c>
      <c r="E33" s="1202"/>
      <c r="F33" s="1203"/>
      <c r="G33" s="1203"/>
      <c r="H33" s="1203"/>
      <c r="I33" s="707"/>
      <c r="J33" s="707"/>
      <c r="K33" s="707"/>
      <c r="L33" s="707"/>
      <c r="M33" s="707"/>
      <c r="N33" s="707"/>
      <c r="O33" s="707"/>
      <c r="P33" s="1204"/>
      <c r="Q33" s="707"/>
    </row>
    <row r="34" spans="1:17" s="1200" customFormat="1" ht="13.5" customHeight="1" x14ac:dyDescent="0.2">
      <c r="A34" s="1207" t="s">
        <v>1264</v>
      </c>
      <c r="B34" s="1208" t="s">
        <v>2420</v>
      </c>
      <c r="C34" s="1207" t="s">
        <v>1264</v>
      </c>
      <c r="D34" s="1208" t="s">
        <v>2425</v>
      </c>
      <c r="E34" s="1202"/>
      <c r="F34" s="1203"/>
      <c r="G34" s="1203"/>
      <c r="H34" s="1203"/>
      <c r="I34" s="707"/>
      <c r="J34" s="707"/>
      <c r="K34" s="707"/>
      <c r="L34" s="707"/>
      <c r="M34" s="707"/>
      <c r="N34" s="707"/>
      <c r="O34" s="707"/>
      <c r="P34" s="1204"/>
      <c r="Q34" s="707"/>
    </row>
    <row r="35" spans="1:17" s="1200" customFormat="1" ht="13.5" customHeight="1" x14ac:dyDescent="0.2">
      <c r="A35" s="1207" t="s">
        <v>1259</v>
      </c>
      <c r="B35" s="1208" t="s">
        <v>2421</v>
      </c>
      <c r="C35" s="1207" t="s">
        <v>1259</v>
      </c>
      <c r="D35" s="1208" t="s">
        <v>2421</v>
      </c>
      <c r="E35" s="1202"/>
      <c r="F35" s="1209"/>
      <c r="G35" s="1210"/>
      <c r="H35" s="1203"/>
      <c r="I35" s="707"/>
      <c r="J35" s="707"/>
      <c r="K35" s="707"/>
      <c r="L35" s="707"/>
      <c r="M35" s="707"/>
      <c r="N35" s="707"/>
      <c r="O35" s="707"/>
      <c r="P35" s="1204"/>
      <c r="Q35" s="707"/>
    </row>
    <row r="36" spans="1:17" s="1200" customFormat="1" ht="13.5" customHeight="1" x14ac:dyDescent="0.2">
      <c r="A36" s="1207" t="s">
        <v>1265</v>
      </c>
      <c r="B36" s="1208" t="s">
        <v>2422</v>
      </c>
      <c r="C36" s="1207" t="s">
        <v>1265</v>
      </c>
      <c r="D36" s="1208" t="s">
        <v>2426</v>
      </c>
      <c r="E36" s="1202"/>
      <c r="F36" s="1209"/>
      <c r="G36" s="1210"/>
      <c r="H36" s="1203"/>
      <c r="I36" s="707"/>
      <c r="J36" s="707"/>
      <c r="K36" s="707"/>
      <c r="L36" s="707"/>
      <c r="M36" s="707"/>
      <c r="N36" s="707"/>
      <c r="O36" s="707"/>
      <c r="P36" s="1204"/>
      <c r="Q36" s="1203"/>
    </row>
    <row r="37" spans="1:17" s="1200" customFormat="1" ht="13.5" customHeight="1" x14ac:dyDescent="0.2">
      <c r="A37" s="1207" t="s">
        <v>1260</v>
      </c>
      <c r="B37" s="1208" t="s">
        <v>2417</v>
      </c>
      <c r="C37" s="1207" t="s">
        <v>1260</v>
      </c>
      <c r="D37" s="1208" t="s">
        <v>2427</v>
      </c>
      <c r="E37" s="1202"/>
      <c r="F37" s="1211"/>
      <c r="G37" s="1210"/>
      <c r="H37" s="1203"/>
      <c r="I37" s="707"/>
      <c r="J37" s="707"/>
      <c r="K37" s="707"/>
      <c r="L37" s="707"/>
      <c r="M37" s="707"/>
      <c r="N37" s="707"/>
      <c r="O37" s="707"/>
      <c r="P37" s="1204"/>
      <c r="Q37" s="1203"/>
    </row>
    <row r="38" spans="1:17" s="1200" customFormat="1" ht="13.5" customHeight="1" x14ac:dyDescent="0.2">
      <c r="A38" s="1207" t="s">
        <v>1266</v>
      </c>
      <c r="B38" s="1208" t="s">
        <v>2423</v>
      </c>
      <c r="C38" s="1207" t="s">
        <v>1266</v>
      </c>
      <c r="D38" s="1208" t="s">
        <v>2428</v>
      </c>
      <c r="E38" s="1202"/>
      <c r="F38" s="1211"/>
      <c r="G38" s="1210"/>
      <c r="H38" s="1203"/>
      <c r="I38" s="707"/>
      <c r="J38" s="707"/>
      <c r="K38" s="707"/>
      <c r="L38" s="707"/>
      <c r="M38" s="707"/>
      <c r="N38" s="707"/>
      <c r="O38" s="707"/>
      <c r="P38" s="1204"/>
      <c r="Q38" s="1203"/>
    </row>
    <row r="39" spans="1:17" s="1200" customFormat="1" ht="13.5" customHeight="1" x14ac:dyDescent="0.2">
      <c r="A39" s="1207"/>
      <c r="B39" s="1208"/>
      <c r="C39" s="1207"/>
      <c r="D39" s="1208"/>
      <c r="E39" s="1202"/>
      <c r="F39" s="1211"/>
      <c r="G39" s="1210"/>
      <c r="H39" s="1203"/>
      <c r="I39" s="707"/>
      <c r="J39" s="707"/>
      <c r="K39" s="707"/>
      <c r="L39" s="707"/>
      <c r="M39" s="707"/>
      <c r="N39" s="707"/>
      <c r="O39" s="707"/>
      <c r="P39" s="1204"/>
      <c r="Q39" s="1203"/>
    </row>
    <row r="40" spans="1:17" s="1200" customFormat="1" ht="13.5" customHeight="1" x14ac:dyDescent="0.2">
      <c r="A40" s="1371" t="s">
        <v>1267</v>
      </c>
      <c r="B40" s="1372"/>
      <c r="C40" s="1371" t="s">
        <v>1268</v>
      </c>
      <c r="D40" s="1372"/>
      <c r="E40" s="1202"/>
      <c r="F40" s="1211"/>
      <c r="G40" s="1210"/>
      <c r="H40" s="1203"/>
      <c r="I40" s="707"/>
      <c r="J40" s="707"/>
      <c r="K40" s="707"/>
      <c r="L40" s="707"/>
      <c r="M40" s="707"/>
      <c r="N40" s="707"/>
      <c r="O40" s="707"/>
      <c r="P40" s="1204"/>
      <c r="Q40" s="1203"/>
    </row>
    <row r="41" spans="1:17" s="1200" customFormat="1" ht="13.5" customHeight="1" x14ac:dyDescent="0.2">
      <c r="A41" s="1207" t="s">
        <v>1493</v>
      </c>
      <c r="B41" s="1208" t="s">
        <v>2429</v>
      </c>
      <c r="C41" s="1207" t="s">
        <v>1493</v>
      </c>
      <c r="D41" s="1208" t="s">
        <v>2435</v>
      </c>
      <c r="E41" s="1202"/>
      <c r="F41" s="1203"/>
      <c r="G41" s="1203"/>
      <c r="H41" s="1203"/>
      <c r="I41" s="707"/>
      <c r="J41" s="707"/>
      <c r="K41" s="707"/>
      <c r="L41" s="707"/>
      <c r="M41" s="707"/>
      <c r="N41" s="707"/>
      <c r="O41" s="707"/>
      <c r="P41" s="1204"/>
      <c r="Q41" s="707"/>
    </row>
    <row r="42" spans="1:17" s="1200" customFormat="1" ht="13.5" customHeight="1" x14ac:dyDescent="0.2">
      <c r="A42" s="1207" t="s">
        <v>1494</v>
      </c>
      <c r="B42" s="1208" t="s">
        <v>2430</v>
      </c>
      <c r="C42" s="1207" t="s">
        <v>1494</v>
      </c>
      <c r="D42" s="1208" t="s">
        <v>2430</v>
      </c>
      <c r="E42" s="1202"/>
      <c r="F42" s="1203"/>
      <c r="G42" s="1203"/>
      <c r="H42" s="1203"/>
      <c r="I42" s="707"/>
      <c r="J42" s="707"/>
      <c r="K42" s="707"/>
      <c r="L42" s="707"/>
      <c r="M42" s="707"/>
      <c r="N42" s="707"/>
      <c r="O42" s="707"/>
      <c r="P42" s="1204"/>
      <c r="Q42" s="707"/>
    </row>
    <row r="43" spans="1:17" s="1200" customFormat="1" ht="13.5" customHeight="1" x14ac:dyDescent="0.2">
      <c r="A43" s="1207" t="s">
        <v>1264</v>
      </c>
      <c r="B43" s="1208" t="s">
        <v>2431</v>
      </c>
      <c r="C43" s="1207" t="s">
        <v>1264</v>
      </c>
      <c r="D43" s="1208" t="s">
        <v>2436</v>
      </c>
      <c r="E43" s="1202"/>
      <c r="F43" s="1211"/>
      <c r="G43" s="1210"/>
      <c r="H43" s="1203"/>
      <c r="I43" s="707"/>
      <c r="J43" s="707"/>
      <c r="K43" s="707"/>
      <c r="L43" s="707"/>
      <c r="M43" s="707"/>
      <c r="N43" s="707"/>
      <c r="O43" s="707"/>
      <c r="P43" s="1204"/>
      <c r="Q43" s="1203"/>
    </row>
    <row r="44" spans="1:17" s="1200" customFormat="1" ht="13.5" customHeight="1" x14ac:dyDescent="0.2">
      <c r="A44" s="1207" t="s">
        <v>1259</v>
      </c>
      <c r="B44" s="1208" t="s">
        <v>2432</v>
      </c>
      <c r="C44" s="1207" t="s">
        <v>1259</v>
      </c>
      <c r="D44" s="1208" t="s">
        <v>2437</v>
      </c>
      <c r="E44" s="1202"/>
      <c r="F44" s="1212"/>
      <c r="G44" s="1210"/>
      <c r="H44" s="1203"/>
      <c r="I44" s="707"/>
      <c r="J44" s="707"/>
      <c r="K44" s="707"/>
      <c r="L44" s="707"/>
      <c r="M44" s="707"/>
      <c r="N44" s="707"/>
      <c r="O44" s="707"/>
      <c r="P44" s="1204"/>
      <c r="Q44" s="1203"/>
    </row>
    <row r="45" spans="1:17" s="1200" customFormat="1" ht="13.5" customHeight="1" x14ac:dyDescent="0.2">
      <c r="A45" s="1207" t="s">
        <v>1265</v>
      </c>
      <c r="B45" s="1208" t="s">
        <v>2433</v>
      </c>
      <c r="C45" s="1207" t="s">
        <v>1265</v>
      </c>
      <c r="D45" s="1208" t="s">
        <v>2438</v>
      </c>
      <c r="E45" s="1202"/>
      <c r="F45" s="1213"/>
      <c r="G45" s="1210"/>
      <c r="H45" s="1203"/>
      <c r="I45" s="707"/>
      <c r="J45" s="707"/>
      <c r="K45" s="707"/>
      <c r="L45" s="707"/>
      <c r="M45" s="707"/>
      <c r="N45" s="707"/>
      <c r="O45" s="707"/>
      <c r="P45" s="1204"/>
      <c r="Q45" s="1203"/>
    </row>
    <row r="46" spans="1:17" s="1200" customFormat="1" ht="13.5" customHeight="1" x14ac:dyDescent="0.2">
      <c r="A46" s="1207" t="s">
        <v>1260</v>
      </c>
      <c r="B46" s="1208" t="s">
        <v>2417</v>
      </c>
      <c r="C46" s="1207" t="s">
        <v>1260</v>
      </c>
      <c r="D46" s="1208" t="s">
        <v>2417</v>
      </c>
      <c r="E46" s="1202"/>
      <c r="F46" s="1213"/>
      <c r="G46" s="1210"/>
      <c r="H46" s="1203"/>
      <c r="I46" s="707"/>
      <c r="J46" s="707"/>
      <c r="K46" s="707"/>
      <c r="L46" s="707"/>
      <c r="M46" s="707"/>
      <c r="N46" s="707"/>
      <c r="O46" s="707"/>
      <c r="P46" s="1204"/>
      <c r="Q46" s="1203"/>
    </row>
    <row r="47" spans="1:17" s="1200" customFormat="1" ht="13.5" customHeight="1" x14ac:dyDescent="0.2">
      <c r="A47" s="1214" t="s">
        <v>1266</v>
      </c>
      <c r="B47" s="1215" t="s">
        <v>2434</v>
      </c>
      <c r="C47" s="1214" t="s">
        <v>1266</v>
      </c>
      <c r="D47" s="1215" t="s">
        <v>2439</v>
      </c>
      <c r="E47" s="1202"/>
      <c r="F47" s="1213"/>
      <c r="G47" s="1210"/>
      <c r="H47" s="1203"/>
      <c r="I47" s="707"/>
      <c r="J47" s="707"/>
      <c r="K47" s="707"/>
      <c r="L47" s="707"/>
      <c r="M47" s="707"/>
      <c r="N47" s="707"/>
      <c r="O47" s="707"/>
      <c r="P47" s="1204"/>
      <c r="Q47" s="1203"/>
    </row>
    <row r="48" spans="1:17" s="1200" customFormat="1" ht="13.5" customHeight="1" x14ac:dyDescent="0.2">
      <c r="A48" s="1216"/>
      <c r="B48" s="1217"/>
      <c r="C48" s="1216"/>
      <c r="D48" s="1217"/>
      <c r="E48" s="1202"/>
      <c r="F48" s="1213"/>
      <c r="G48" s="1210"/>
      <c r="H48" s="1203"/>
      <c r="I48" s="707"/>
      <c r="J48" s="707"/>
      <c r="K48" s="707"/>
      <c r="L48" s="707"/>
      <c r="M48" s="707"/>
      <c r="N48" s="707"/>
      <c r="O48" s="707"/>
      <c r="P48" s="1204"/>
      <c r="Q48" s="1203"/>
    </row>
    <row r="49" spans="1:17" s="1200" customFormat="1" ht="13.5" customHeight="1" x14ac:dyDescent="0.2">
      <c r="A49" s="1371" t="s">
        <v>1269</v>
      </c>
      <c r="B49" s="1372"/>
      <c r="C49" s="1371" t="s">
        <v>1270</v>
      </c>
      <c r="D49" s="1372"/>
      <c r="E49" s="1202"/>
      <c r="F49" s="1213"/>
      <c r="G49" s="1210"/>
      <c r="H49" s="1203"/>
      <c r="I49" s="707"/>
      <c r="J49" s="707"/>
      <c r="K49" s="707"/>
      <c r="L49" s="707"/>
      <c r="M49" s="707"/>
      <c r="N49" s="707"/>
      <c r="O49" s="707"/>
      <c r="P49" s="1204"/>
      <c r="Q49" s="1203"/>
    </row>
    <row r="50" spans="1:17" s="1200" customFormat="1" ht="13.5" customHeight="1" x14ac:dyDescent="0.2">
      <c r="A50" s="1207" t="s">
        <v>1493</v>
      </c>
      <c r="B50" s="1208"/>
      <c r="C50" s="1207" t="s">
        <v>1493</v>
      </c>
      <c r="D50" s="1208"/>
      <c r="E50" s="1202"/>
      <c r="F50" s="1203"/>
      <c r="G50" s="1203"/>
      <c r="H50" s="1203"/>
      <c r="I50" s="707"/>
      <c r="J50" s="707"/>
      <c r="K50" s="707"/>
      <c r="L50" s="707"/>
      <c r="M50" s="707"/>
      <c r="N50" s="707"/>
      <c r="O50" s="707"/>
      <c r="P50" s="1204"/>
      <c r="Q50" s="707"/>
    </row>
    <row r="51" spans="1:17" s="1200" customFormat="1" ht="13.5" customHeight="1" x14ac:dyDescent="0.2">
      <c r="A51" s="1207" t="s">
        <v>1494</v>
      </c>
      <c r="B51" s="1208"/>
      <c r="C51" s="1207" t="s">
        <v>1494</v>
      </c>
      <c r="D51" s="1208"/>
      <c r="E51" s="1202"/>
      <c r="F51" s="1203"/>
      <c r="G51" s="1203"/>
      <c r="H51" s="1203"/>
      <c r="I51" s="707"/>
      <c r="J51" s="707"/>
      <c r="K51" s="707"/>
      <c r="L51" s="707"/>
      <c r="M51" s="707"/>
      <c r="N51" s="707"/>
      <c r="O51" s="707"/>
      <c r="P51" s="1204"/>
      <c r="Q51" s="707"/>
    </row>
    <row r="52" spans="1:17" s="1200" customFormat="1" ht="13.5" customHeight="1" x14ac:dyDescent="0.2">
      <c r="A52" s="1207" t="s">
        <v>1264</v>
      </c>
      <c r="B52" s="1208"/>
      <c r="C52" s="1207" t="s">
        <v>1264</v>
      </c>
      <c r="D52" s="1208"/>
      <c r="E52" s="1202"/>
      <c r="F52" s="1213"/>
      <c r="G52" s="1210"/>
      <c r="H52" s="1203"/>
      <c r="I52" s="707"/>
      <c r="J52" s="707"/>
      <c r="K52" s="707"/>
      <c r="L52" s="707"/>
      <c r="M52" s="707"/>
      <c r="N52" s="707"/>
      <c r="O52" s="707"/>
      <c r="P52" s="1204"/>
      <c r="Q52" s="1203"/>
    </row>
    <row r="53" spans="1:17" s="1203" customFormat="1" ht="13.5" customHeight="1" x14ac:dyDescent="0.2">
      <c r="A53" s="1207" t="s">
        <v>1259</v>
      </c>
      <c r="B53" s="1208"/>
      <c r="C53" s="1207" t="s">
        <v>1259</v>
      </c>
      <c r="D53" s="1208"/>
      <c r="E53" s="1202"/>
      <c r="F53" s="1213"/>
      <c r="G53" s="1210"/>
      <c r="I53" s="707"/>
      <c r="J53" s="707"/>
      <c r="K53" s="707"/>
      <c r="L53" s="707"/>
      <c r="M53" s="707"/>
      <c r="N53" s="707"/>
      <c r="O53" s="707"/>
      <c r="P53" s="1204"/>
    </row>
    <row r="54" spans="1:17" s="1203" customFormat="1" ht="13.5" customHeight="1" x14ac:dyDescent="0.2">
      <c r="A54" s="1207" t="s">
        <v>1265</v>
      </c>
      <c r="B54" s="1208"/>
      <c r="C54" s="1207" t="s">
        <v>1265</v>
      </c>
      <c r="D54" s="1208"/>
      <c r="E54" s="1202"/>
      <c r="F54" s="1213"/>
      <c r="G54" s="1210"/>
      <c r="I54" s="707"/>
      <c r="J54" s="707"/>
      <c r="K54" s="707"/>
      <c r="L54" s="707"/>
      <c r="M54" s="707"/>
      <c r="N54" s="707"/>
      <c r="O54" s="707"/>
      <c r="P54" s="1204"/>
    </row>
    <row r="55" spans="1:17" s="1203" customFormat="1" ht="13.5" customHeight="1" x14ac:dyDescent="0.2">
      <c r="A55" s="1207" t="s">
        <v>1260</v>
      </c>
      <c r="B55" s="1208"/>
      <c r="C55" s="1207" t="s">
        <v>1260</v>
      </c>
      <c r="D55" s="1208"/>
      <c r="E55" s="1202"/>
      <c r="F55" s="1213"/>
      <c r="G55" s="1210"/>
      <c r="I55" s="707"/>
      <c r="J55" s="707"/>
      <c r="K55" s="707"/>
      <c r="L55" s="707"/>
      <c r="M55" s="707"/>
      <c r="N55" s="707"/>
      <c r="O55" s="707"/>
      <c r="P55" s="1204"/>
    </row>
    <row r="56" spans="1:17" s="1203" customFormat="1" ht="13.5" customHeight="1" x14ac:dyDescent="0.2">
      <c r="A56" s="1218" t="s">
        <v>1266</v>
      </c>
      <c r="B56" s="1219"/>
      <c r="C56" s="1218" t="s">
        <v>1266</v>
      </c>
      <c r="D56" s="1219"/>
      <c r="E56" s="1202"/>
      <c r="F56" s="1213"/>
      <c r="G56" s="1210"/>
      <c r="I56" s="707"/>
      <c r="J56" s="707"/>
      <c r="K56" s="707"/>
      <c r="L56" s="707"/>
      <c r="M56" s="707"/>
      <c r="N56" s="707"/>
      <c r="O56" s="707"/>
      <c r="P56" s="1204"/>
    </row>
    <row r="57" spans="1:17" s="1203" customFormat="1" ht="13.5" customHeight="1" x14ac:dyDescent="0.2">
      <c r="A57" s="1216"/>
      <c r="B57" s="1217"/>
      <c r="C57" s="1216"/>
      <c r="D57" s="1217"/>
      <c r="E57" s="1202"/>
      <c r="F57" s="1213"/>
      <c r="G57" s="1210"/>
      <c r="I57" s="707"/>
      <c r="J57" s="707"/>
      <c r="K57" s="707"/>
      <c r="L57" s="707"/>
      <c r="M57" s="707"/>
      <c r="N57" s="707"/>
      <c r="O57" s="707"/>
      <c r="P57" s="1204"/>
    </row>
    <row r="58" spans="1:17" s="1203" customFormat="1" ht="13.5" customHeight="1" thickBot="1" x14ac:dyDescent="0.25">
      <c r="A58" s="1383" t="s">
        <v>1271</v>
      </c>
      <c r="B58" s="1384"/>
      <c r="C58" s="1385"/>
      <c r="D58" s="1386"/>
      <c r="E58" s="1202"/>
      <c r="F58" s="1213"/>
      <c r="G58" s="1210"/>
      <c r="I58" s="707"/>
      <c r="J58" s="707"/>
      <c r="K58" s="707"/>
      <c r="L58" s="707"/>
      <c r="M58" s="707"/>
      <c r="N58" s="707"/>
      <c r="O58" s="707"/>
      <c r="P58" s="1204"/>
    </row>
    <row r="59" spans="1:17" s="1223" customFormat="1" ht="13.5" customHeight="1" thickTop="1" x14ac:dyDescent="0.2">
      <c r="A59" s="1205" t="s">
        <v>1272</v>
      </c>
      <c r="B59" s="1206"/>
      <c r="C59" s="1371" t="s">
        <v>1273</v>
      </c>
      <c r="D59" s="1372"/>
      <c r="E59" s="1220"/>
      <c r="F59" s="1221"/>
      <c r="G59" s="1222"/>
      <c r="I59" s="1224"/>
      <c r="J59" s="1224"/>
      <c r="K59" s="1224"/>
      <c r="L59" s="1224"/>
      <c r="M59" s="1224"/>
      <c r="N59" s="1224"/>
      <c r="O59" s="1224"/>
      <c r="P59" s="1204"/>
      <c r="Q59" s="1203"/>
    </row>
    <row r="60" spans="1:17" s="1200" customFormat="1" ht="13.5" customHeight="1" x14ac:dyDescent="0.2">
      <c r="A60" s="1207" t="s">
        <v>1493</v>
      </c>
      <c r="B60" s="1208"/>
      <c r="C60" s="1207" t="s">
        <v>1493</v>
      </c>
      <c r="D60" s="1208" t="s">
        <v>2444</v>
      </c>
      <c r="E60" s="1202"/>
      <c r="F60" s="1203"/>
      <c r="G60" s="1203"/>
      <c r="H60" s="1203"/>
      <c r="I60" s="707"/>
      <c r="J60" s="707"/>
      <c r="K60" s="707"/>
      <c r="L60" s="707"/>
      <c r="M60" s="707"/>
      <c r="N60" s="707"/>
      <c r="O60" s="707"/>
      <c r="P60" s="1204"/>
      <c r="Q60" s="707"/>
    </row>
    <row r="61" spans="1:17" s="1200" customFormat="1" ht="13.5" customHeight="1" x14ac:dyDescent="0.2">
      <c r="A61" s="1207" t="s">
        <v>1494</v>
      </c>
      <c r="B61" s="1208" t="s">
        <v>2430</v>
      </c>
      <c r="C61" s="1207" t="s">
        <v>1494</v>
      </c>
      <c r="D61" s="1208" t="s">
        <v>2445</v>
      </c>
      <c r="E61" s="1202"/>
      <c r="F61" s="1203"/>
      <c r="G61" s="1203"/>
      <c r="H61" s="1203"/>
      <c r="I61" s="707"/>
      <c r="J61" s="707"/>
      <c r="K61" s="707"/>
      <c r="L61" s="707"/>
      <c r="M61" s="707"/>
      <c r="N61" s="707"/>
      <c r="O61" s="707"/>
      <c r="P61" s="1204"/>
      <c r="Q61" s="707"/>
    </row>
    <row r="62" spans="1:17" s="1223" customFormat="1" ht="13.5" customHeight="1" x14ac:dyDescent="0.2">
      <c r="A62" s="1207" t="s">
        <v>1264</v>
      </c>
      <c r="B62" s="1208" t="s">
        <v>2440</v>
      </c>
      <c r="C62" s="1207" t="s">
        <v>1264</v>
      </c>
      <c r="D62" s="1208" t="s">
        <v>2446</v>
      </c>
      <c r="E62" s="1220"/>
      <c r="F62" s="1221"/>
      <c r="G62" s="1222"/>
      <c r="I62" s="1224"/>
      <c r="J62" s="1224"/>
      <c r="K62" s="1224"/>
      <c r="L62" s="1224"/>
      <c r="M62" s="1224"/>
      <c r="N62" s="1224"/>
      <c r="O62" s="1224"/>
      <c r="P62" s="1204"/>
      <c r="Q62" s="1203"/>
    </row>
    <row r="63" spans="1:17" s="1203" customFormat="1" ht="13.5" customHeight="1" x14ac:dyDescent="0.2">
      <c r="A63" s="1207" t="s">
        <v>1259</v>
      </c>
      <c r="B63" s="1446" t="s">
        <v>2441</v>
      </c>
      <c r="C63" s="1207" t="s">
        <v>1259</v>
      </c>
      <c r="D63" s="1208" t="s">
        <v>2447</v>
      </c>
      <c r="E63" s="1202"/>
      <c r="F63" s="1213"/>
      <c r="G63" s="1210"/>
      <c r="I63" s="707"/>
      <c r="J63" s="707"/>
      <c r="K63" s="707"/>
      <c r="L63" s="707"/>
      <c r="M63" s="707"/>
      <c r="N63" s="707"/>
      <c r="O63" s="707"/>
      <c r="P63" s="1204"/>
    </row>
    <row r="64" spans="1:17" s="1203" customFormat="1" ht="13.5" customHeight="1" x14ac:dyDescent="0.2">
      <c r="A64" s="1207" t="s">
        <v>1265</v>
      </c>
      <c r="B64" s="1446" t="s">
        <v>2442</v>
      </c>
      <c r="C64" s="1207" t="s">
        <v>1265</v>
      </c>
      <c r="D64" s="1208" t="s">
        <v>2448</v>
      </c>
      <c r="E64" s="1202"/>
      <c r="F64" s="1213"/>
      <c r="G64" s="1210"/>
      <c r="I64" s="707"/>
      <c r="J64" s="707"/>
      <c r="K64" s="707"/>
      <c r="L64" s="707"/>
      <c r="M64" s="707"/>
      <c r="N64" s="707"/>
      <c r="O64" s="707"/>
      <c r="P64" s="1204"/>
    </row>
    <row r="65" spans="1:17" s="1203" customFormat="1" ht="13.5" customHeight="1" x14ac:dyDescent="0.2">
      <c r="A65" s="1207" t="s">
        <v>1260</v>
      </c>
      <c r="B65" s="1208" t="s">
        <v>2417</v>
      </c>
      <c r="C65" s="1207" t="s">
        <v>1260</v>
      </c>
      <c r="D65" s="1208" t="s">
        <v>2417</v>
      </c>
      <c r="E65" s="1202"/>
      <c r="F65" s="1213"/>
      <c r="G65" s="1210"/>
      <c r="I65" s="707"/>
      <c r="J65" s="707"/>
      <c r="K65" s="707"/>
      <c r="L65" s="707"/>
      <c r="M65" s="707"/>
      <c r="N65" s="707"/>
      <c r="O65" s="707"/>
      <c r="P65" s="1204"/>
    </row>
    <row r="66" spans="1:17" s="1200" customFormat="1" ht="13.5" customHeight="1" x14ac:dyDescent="0.2">
      <c r="A66" s="1218" t="s">
        <v>1266</v>
      </c>
      <c r="B66" s="1447" t="s">
        <v>2443</v>
      </c>
      <c r="C66" s="1218" t="s">
        <v>1266</v>
      </c>
      <c r="D66" s="1219" t="s">
        <v>2449</v>
      </c>
      <c r="E66" s="1202"/>
      <c r="F66" s="1213"/>
      <c r="G66" s="1210"/>
      <c r="H66" s="1203"/>
      <c r="I66" s="707"/>
      <c r="J66" s="707"/>
      <c r="K66" s="707"/>
      <c r="L66" s="707"/>
      <c r="M66" s="707"/>
      <c r="N66" s="707"/>
      <c r="O66" s="707"/>
      <c r="P66" s="1204"/>
      <c r="Q66" s="1203"/>
    </row>
    <row r="67" spans="1:17" s="1200" customFormat="1" ht="13.5" customHeight="1" x14ac:dyDescent="0.2">
      <c r="A67" s="1216"/>
      <c r="B67" s="1217"/>
      <c r="C67" s="1216"/>
      <c r="D67" s="1217"/>
      <c r="E67" s="1202"/>
      <c r="F67" s="1213"/>
      <c r="G67" s="1210"/>
      <c r="H67" s="1203"/>
      <c r="I67" s="707"/>
      <c r="J67" s="707"/>
      <c r="K67" s="707"/>
      <c r="L67" s="707"/>
      <c r="M67" s="707"/>
      <c r="N67" s="707"/>
      <c r="O67" s="707"/>
      <c r="P67" s="1204"/>
      <c r="Q67" s="1203"/>
    </row>
    <row r="68" spans="1:17" s="1200" customFormat="1" ht="13.5" customHeight="1" x14ac:dyDescent="0.2">
      <c r="A68" s="1226" t="s">
        <v>1274</v>
      </c>
      <c r="B68" s="1227"/>
      <c r="C68" s="1371" t="s">
        <v>1275</v>
      </c>
      <c r="D68" s="1372"/>
      <c r="E68" s="1202"/>
      <c r="F68" s="1213"/>
      <c r="G68" s="1210"/>
      <c r="H68" s="1203"/>
      <c r="I68" s="707"/>
      <c r="J68" s="707"/>
      <c r="K68" s="707"/>
      <c r="L68" s="707"/>
      <c r="M68" s="707"/>
      <c r="N68" s="707"/>
      <c r="O68" s="707"/>
      <c r="P68" s="1204"/>
      <c r="Q68" s="1203"/>
    </row>
    <row r="69" spans="1:17" s="1200" customFormat="1" ht="13.5" customHeight="1" x14ac:dyDescent="0.2">
      <c r="A69" s="1207" t="s">
        <v>1493</v>
      </c>
      <c r="B69" s="1208"/>
      <c r="C69" s="1207" t="s">
        <v>1493</v>
      </c>
      <c r="D69" s="1208" t="s">
        <v>2454</v>
      </c>
      <c r="E69" s="1202"/>
      <c r="F69" s="1203"/>
      <c r="G69" s="1203"/>
      <c r="H69" s="1203"/>
      <c r="I69" s="707"/>
      <c r="J69" s="707"/>
      <c r="K69" s="707"/>
      <c r="L69" s="707"/>
      <c r="M69" s="707"/>
      <c r="N69" s="707"/>
      <c r="O69" s="707"/>
      <c r="P69" s="1204"/>
      <c r="Q69" s="707"/>
    </row>
    <row r="70" spans="1:17" s="1200" customFormat="1" ht="13.5" customHeight="1" x14ac:dyDescent="0.2">
      <c r="A70" s="1207" t="s">
        <v>1494</v>
      </c>
      <c r="B70" s="1208" t="s">
        <v>2419</v>
      </c>
      <c r="C70" s="1207" t="s">
        <v>1494</v>
      </c>
      <c r="D70" s="1208" t="s">
        <v>2419</v>
      </c>
      <c r="E70" s="1202"/>
      <c r="F70" s="1203"/>
      <c r="G70" s="1203"/>
      <c r="H70" s="1203"/>
      <c r="I70" s="707"/>
      <c r="J70" s="707"/>
      <c r="K70" s="707"/>
      <c r="L70" s="707"/>
      <c r="M70" s="707"/>
      <c r="N70" s="707"/>
      <c r="O70" s="707"/>
      <c r="P70" s="1204"/>
      <c r="Q70" s="707"/>
    </row>
    <row r="71" spans="1:17" s="1228" customFormat="1" ht="13.5" customHeight="1" x14ac:dyDescent="0.2">
      <c r="A71" s="1207" t="s">
        <v>1264</v>
      </c>
      <c r="B71" s="1208" t="s">
        <v>2450</v>
      </c>
      <c r="C71" s="1207" t="s">
        <v>1264</v>
      </c>
      <c r="D71" s="1208" t="s">
        <v>2455</v>
      </c>
      <c r="E71" s="1220"/>
      <c r="F71" s="1221"/>
      <c r="G71" s="1222"/>
      <c r="H71" s="1223"/>
      <c r="I71" s="1224"/>
      <c r="J71" s="1224"/>
      <c r="K71" s="1224"/>
      <c r="L71" s="1224"/>
      <c r="M71" s="1224"/>
      <c r="N71" s="1224"/>
      <c r="O71" s="1224"/>
      <c r="P71" s="1204"/>
      <c r="Q71" s="1203"/>
    </row>
    <row r="72" spans="1:17" s="1200" customFormat="1" ht="13.5" customHeight="1" x14ac:dyDescent="0.2">
      <c r="A72" s="1207" t="s">
        <v>1259</v>
      </c>
      <c r="B72" s="1208" t="s">
        <v>2451</v>
      </c>
      <c r="C72" s="1207" t="s">
        <v>1259</v>
      </c>
      <c r="D72" s="1208" t="s">
        <v>2451</v>
      </c>
      <c r="E72" s="1202"/>
      <c r="F72" s="1213"/>
      <c r="G72" s="1210"/>
      <c r="H72" s="1203"/>
      <c r="I72" s="707"/>
      <c r="J72" s="707"/>
      <c r="K72" s="707"/>
      <c r="L72" s="707"/>
      <c r="M72" s="707"/>
      <c r="N72" s="707"/>
      <c r="O72" s="707"/>
      <c r="P72" s="1204"/>
      <c r="Q72" s="1203"/>
    </row>
    <row r="73" spans="1:17" s="1200" customFormat="1" ht="13.5" customHeight="1" x14ac:dyDescent="0.2">
      <c r="A73" s="1207" t="s">
        <v>1265</v>
      </c>
      <c r="B73" s="1446" t="s">
        <v>2452</v>
      </c>
      <c r="C73" s="1207" t="s">
        <v>1265</v>
      </c>
      <c r="D73" s="1208" t="s">
        <v>2456</v>
      </c>
      <c r="E73" s="1202"/>
      <c r="F73" s="1213"/>
      <c r="G73" s="1210"/>
      <c r="H73" s="1203"/>
      <c r="I73" s="707"/>
      <c r="J73" s="707"/>
      <c r="K73" s="707"/>
      <c r="L73" s="707"/>
      <c r="M73" s="707"/>
      <c r="N73" s="707"/>
      <c r="O73" s="707"/>
      <c r="P73" s="1204"/>
      <c r="Q73" s="1203"/>
    </row>
    <row r="74" spans="1:17" s="1200" customFormat="1" ht="13.5" customHeight="1" x14ac:dyDescent="0.2">
      <c r="A74" s="1207" t="s">
        <v>1260</v>
      </c>
      <c r="B74" s="1208" t="s">
        <v>2417</v>
      </c>
      <c r="C74" s="1207" t="s">
        <v>1260</v>
      </c>
      <c r="D74" s="1208" t="s">
        <v>2417</v>
      </c>
      <c r="E74" s="1202"/>
      <c r="F74" s="1213"/>
      <c r="G74" s="1210"/>
      <c r="H74" s="1203"/>
      <c r="I74" s="707"/>
      <c r="J74" s="707"/>
      <c r="K74" s="707"/>
      <c r="L74" s="707"/>
      <c r="M74" s="707"/>
      <c r="N74" s="707"/>
      <c r="O74" s="707"/>
      <c r="P74" s="1204"/>
      <c r="Q74" s="1203"/>
    </row>
    <row r="75" spans="1:17" s="1200" customFormat="1" ht="13.5" customHeight="1" x14ac:dyDescent="0.2">
      <c r="A75" s="1218" t="s">
        <v>1266</v>
      </c>
      <c r="B75" s="1225" t="s">
        <v>2453</v>
      </c>
      <c r="C75" s="1218" t="s">
        <v>1266</v>
      </c>
      <c r="D75" s="1219" t="s">
        <v>2457</v>
      </c>
      <c r="E75" s="1202"/>
      <c r="F75" s="1213"/>
      <c r="G75" s="1210"/>
      <c r="H75" s="1203"/>
      <c r="I75" s="707"/>
      <c r="J75" s="707"/>
      <c r="K75" s="707"/>
      <c r="L75" s="707"/>
      <c r="M75" s="707"/>
      <c r="N75" s="707"/>
      <c r="O75" s="707"/>
      <c r="P75" s="1204"/>
      <c r="Q75" s="1203"/>
    </row>
    <row r="76" spans="1:17" s="1200" customFormat="1" ht="13.5" customHeight="1" x14ac:dyDescent="0.2">
      <c r="A76" s="1216"/>
      <c r="B76" s="1217"/>
      <c r="C76" s="1216"/>
      <c r="D76" s="1217"/>
      <c r="E76" s="1202"/>
      <c r="F76" s="1213"/>
      <c r="G76" s="1210"/>
      <c r="H76" s="1203"/>
      <c r="I76" s="707"/>
      <c r="J76" s="707"/>
      <c r="K76" s="707"/>
      <c r="L76" s="707"/>
      <c r="M76" s="707"/>
      <c r="N76" s="707"/>
      <c r="O76" s="707"/>
      <c r="P76" s="1204"/>
      <c r="Q76" s="1203"/>
    </row>
    <row r="77" spans="1:17" s="1200" customFormat="1" ht="13.5" customHeight="1" x14ac:dyDescent="0.2">
      <c r="A77" s="1371" t="s">
        <v>1276</v>
      </c>
      <c r="B77" s="1372"/>
      <c r="C77" s="1371" t="s">
        <v>1276</v>
      </c>
      <c r="D77" s="1372"/>
      <c r="E77" s="1202"/>
      <c r="F77" s="1213"/>
      <c r="G77" s="1210"/>
      <c r="H77" s="1203"/>
      <c r="I77" s="707"/>
      <c r="J77" s="707"/>
      <c r="K77" s="707"/>
      <c r="L77" s="707"/>
      <c r="M77" s="707"/>
      <c r="N77" s="707"/>
      <c r="O77" s="707"/>
      <c r="P77" s="1204"/>
      <c r="Q77" s="1203"/>
    </row>
    <row r="78" spans="1:17" s="1200" customFormat="1" ht="13.5" customHeight="1" x14ac:dyDescent="0.2">
      <c r="A78" s="1207" t="s">
        <v>1493</v>
      </c>
      <c r="B78" s="1208" t="s">
        <v>2458</v>
      </c>
      <c r="C78" s="1207" t="s">
        <v>1493</v>
      </c>
      <c r="D78" s="1208" t="s">
        <v>2463</v>
      </c>
      <c r="E78" s="1202"/>
      <c r="F78" s="1203"/>
      <c r="G78" s="1203"/>
      <c r="H78" s="1203"/>
      <c r="I78" s="707"/>
      <c r="J78" s="707"/>
      <c r="K78" s="707"/>
      <c r="L78" s="707"/>
      <c r="M78" s="707"/>
      <c r="N78" s="707"/>
      <c r="O78" s="707"/>
      <c r="P78" s="1204"/>
      <c r="Q78" s="707"/>
    </row>
    <row r="79" spans="1:17" s="1200" customFormat="1" ht="13.5" customHeight="1" x14ac:dyDescent="0.2">
      <c r="A79" s="1207" t="s">
        <v>1494</v>
      </c>
      <c r="B79" s="1208" t="s">
        <v>2430</v>
      </c>
      <c r="C79" s="1207" t="s">
        <v>1494</v>
      </c>
      <c r="D79" s="1208" t="s">
        <v>2430</v>
      </c>
      <c r="E79" s="1202"/>
      <c r="F79" s="1203"/>
      <c r="G79" s="1203"/>
      <c r="H79" s="1203"/>
      <c r="I79" s="707"/>
      <c r="J79" s="707"/>
      <c r="K79" s="707"/>
      <c r="L79" s="707"/>
      <c r="M79" s="707"/>
      <c r="N79" s="707"/>
      <c r="O79" s="707"/>
      <c r="P79" s="1204"/>
      <c r="Q79" s="707"/>
    </row>
    <row r="80" spans="1:17" s="1228" customFormat="1" ht="13.5" customHeight="1" x14ac:dyDescent="0.2">
      <c r="A80" s="1207" t="s">
        <v>1264</v>
      </c>
      <c r="B80" s="1208" t="s">
        <v>2459</v>
      </c>
      <c r="C80" s="1207" t="s">
        <v>1264</v>
      </c>
      <c r="D80" s="1208" t="s">
        <v>2464</v>
      </c>
      <c r="E80" s="1220"/>
      <c r="F80" s="1221"/>
      <c r="G80" s="1222"/>
      <c r="H80" s="1223"/>
      <c r="I80" s="1224"/>
      <c r="J80" s="1224"/>
      <c r="K80" s="1224"/>
      <c r="L80" s="1224"/>
      <c r="M80" s="1224"/>
      <c r="N80" s="1224"/>
      <c r="O80" s="1224"/>
      <c r="P80" s="1204"/>
      <c r="Q80" s="1203"/>
    </row>
    <row r="81" spans="1:17" s="1200" customFormat="1" ht="13.5" customHeight="1" x14ac:dyDescent="0.2">
      <c r="A81" s="1207" t="s">
        <v>1259</v>
      </c>
      <c r="B81" s="1208" t="s">
        <v>2460</v>
      </c>
      <c r="C81" s="1207" t="s">
        <v>1259</v>
      </c>
      <c r="D81" s="1208" t="s">
        <v>2465</v>
      </c>
      <c r="E81" s="1202"/>
      <c r="F81" s="1213"/>
      <c r="G81" s="1210"/>
      <c r="H81" s="1203"/>
      <c r="I81" s="707"/>
      <c r="J81" s="707"/>
      <c r="K81" s="707"/>
      <c r="L81" s="707"/>
      <c r="M81" s="707"/>
      <c r="N81" s="707"/>
      <c r="O81" s="707"/>
      <c r="P81" s="1204"/>
      <c r="Q81" s="1203"/>
    </row>
    <row r="82" spans="1:17" s="1200" customFormat="1" ht="13.5" customHeight="1" x14ac:dyDescent="0.2">
      <c r="A82" s="1207" t="s">
        <v>1265</v>
      </c>
      <c r="B82" s="1208" t="s">
        <v>2461</v>
      </c>
      <c r="C82" s="1207" t="s">
        <v>1265</v>
      </c>
      <c r="D82" s="1208" t="s">
        <v>2466</v>
      </c>
      <c r="E82" s="1202"/>
      <c r="F82" s="1213"/>
      <c r="G82" s="1210"/>
      <c r="H82" s="1203"/>
      <c r="I82" s="707"/>
      <c r="J82" s="707"/>
      <c r="K82" s="707"/>
      <c r="L82" s="707"/>
      <c r="M82" s="707"/>
      <c r="N82" s="707"/>
      <c r="O82" s="707"/>
      <c r="P82" s="1204"/>
      <c r="Q82" s="1203"/>
    </row>
    <row r="83" spans="1:17" s="1200" customFormat="1" ht="13.5" customHeight="1" x14ac:dyDescent="0.2">
      <c r="A83" s="1207" t="s">
        <v>1260</v>
      </c>
      <c r="B83" s="1208" t="s">
        <v>2417</v>
      </c>
      <c r="C83" s="1207" t="s">
        <v>1260</v>
      </c>
      <c r="D83" s="1208" t="s">
        <v>2417</v>
      </c>
      <c r="E83" s="1202"/>
      <c r="F83" s="1213"/>
      <c r="G83" s="1210"/>
      <c r="H83" s="1203"/>
      <c r="I83" s="707"/>
      <c r="J83" s="707"/>
      <c r="K83" s="707"/>
      <c r="L83" s="707"/>
      <c r="M83" s="707"/>
      <c r="N83" s="707"/>
      <c r="O83" s="707"/>
      <c r="P83" s="1204"/>
      <c r="Q83" s="1203"/>
    </row>
    <row r="84" spans="1:17" s="1200" customFormat="1" ht="13.5" customHeight="1" x14ac:dyDescent="0.2">
      <c r="A84" s="1207" t="s">
        <v>1266</v>
      </c>
      <c r="B84" s="1208" t="s">
        <v>2462</v>
      </c>
      <c r="C84" s="1207" t="s">
        <v>1266</v>
      </c>
      <c r="D84" s="1208" t="s">
        <v>2467</v>
      </c>
      <c r="E84" s="1202"/>
      <c r="F84" s="1213"/>
      <c r="G84" s="1210"/>
      <c r="H84" s="1203"/>
      <c r="I84" s="707"/>
      <c r="J84" s="707"/>
      <c r="K84" s="707"/>
      <c r="L84" s="707"/>
      <c r="M84" s="707"/>
      <c r="N84" s="707"/>
      <c r="O84" s="707"/>
      <c r="P84" s="1204"/>
      <c r="Q84" s="1203"/>
    </row>
    <row r="85" spans="1:17" s="1200" customFormat="1" ht="13.5" customHeight="1" x14ac:dyDescent="0.2">
      <c r="A85" s="1371" t="s">
        <v>1276</v>
      </c>
      <c r="B85" s="1372"/>
      <c r="C85" s="1371" t="s">
        <v>1276</v>
      </c>
      <c r="D85" s="1372"/>
      <c r="E85" s="1202"/>
      <c r="F85" s="1213"/>
      <c r="G85" s="1210"/>
      <c r="H85" s="1203"/>
      <c r="I85" s="707"/>
      <c r="J85" s="707"/>
      <c r="K85" s="707"/>
      <c r="L85" s="707"/>
      <c r="M85" s="707"/>
      <c r="N85" s="707"/>
      <c r="O85" s="707"/>
      <c r="P85" s="1204"/>
      <c r="Q85" s="1203"/>
    </row>
    <row r="86" spans="1:17" s="1200" customFormat="1" ht="13.5" customHeight="1" x14ac:dyDescent="0.2">
      <c r="A86" s="1207" t="s">
        <v>1493</v>
      </c>
      <c r="B86" s="1208" t="s">
        <v>2468</v>
      </c>
      <c r="C86" s="1207" t="s">
        <v>1493</v>
      </c>
      <c r="D86" s="1208" t="s">
        <v>2473</v>
      </c>
      <c r="E86" s="1202"/>
      <c r="F86" s="1203"/>
      <c r="G86" s="1203"/>
      <c r="H86" s="1203"/>
      <c r="I86" s="707"/>
      <c r="J86" s="707"/>
      <c r="K86" s="707"/>
      <c r="L86" s="707"/>
      <c r="M86" s="707"/>
      <c r="N86" s="707"/>
      <c r="O86" s="707"/>
      <c r="P86" s="1204"/>
      <c r="Q86" s="707"/>
    </row>
    <row r="87" spans="1:17" s="1200" customFormat="1" ht="13.5" customHeight="1" x14ac:dyDescent="0.2">
      <c r="A87" s="1207" t="s">
        <v>1494</v>
      </c>
      <c r="B87" s="1208" t="s">
        <v>2430</v>
      </c>
      <c r="C87" s="1207" t="s">
        <v>1494</v>
      </c>
      <c r="D87" s="1208" t="s">
        <v>2445</v>
      </c>
      <c r="E87" s="1202"/>
      <c r="F87" s="1203"/>
      <c r="G87" s="1203"/>
      <c r="H87" s="1203"/>
      <c r="I87" s="707"/>
      <c r="J87" s="707"/>
      <c r="K87" s="707"/>
      <c r="L87" s="707"/>
      <c r="M87" s="707"/>
      <c r="N87" s="707"/>
      <c r="O87" s="707"/>
      <c r="P87" s="1204"/>
      <c r="Q87" s="707"/>
    </row>
    <row r="88" spans="1:17" s="1200" customFormat="1" ht="13.5" customHeight="1" x14ac:dyDescent="0.2">
      <c r="A88" s="1207" t="s">
        <v>1264</v>
      </c>
      <c r="B88" s="1208" t="s">
        <v>2469</v>
      </c>
      <c r="C88" s="1207" t="s">
        <v>1264</v>
      </c>
      <c r="D88" s="1208" t="s">
        <v>2474</v>
      </c>
      <c r="E88" s="1202"/>
      <c r="F88" s="1213"/>
      <c r="G88" s="1210"/>
      <c r="H88" s="1203"/>
      <c r="I88" s="707"/>
      <c r="J88" s="707"/>
      <c r="K88" s="707"/>
      <c r="L88" s="707"/>
      <c r="M88" s="707"/>
      <c r="N88" s="707"/>
      <c r="O88" s="707"/>
      <c r="P88" s="1204"/>
      <c r="Q88" s="1203"/>
    </row>
    <row r="89" spans="1:17" s="1200" customFormat="1" ht="13.5" customHeight="1" x14ac:dyDescent="0.2">
      <c r="A89" s="1207" t="s">
        <v>1259</v>
      </c>
      <c r="B89" s="1208" t="s">
        <v>2470</v>
      </c>
      <c r="C89" s="1207" t="s">
        <v>1259</v>
      </c>
      <c r="D89" s="1208" t="s">
        <v>2475</v>
      </c>
      <c r="E89" s="1202"/>
      <c r="F89" s="1213"/>
      <c r="G89" s="1210"/>
      <c r="H89" s="1203"/>
      <c r="I89" s="707"/>
      <c r="J89" s="707"/>
      <c r="K89" s="707"/>
      <c r="L89" s="707"/>
      <c r="M89" s="707"/>
      <c r="N89" s="707"/>
      <c r="O89" s="707"/>
      <c r="P89" s="1204"/>
      <c r="Q89" s="1203"/>
    </row>
    <row r="90" spans="1:17" s="1203" customFormat="1" ht="13.5" customHeight="1" x14ac:dyDescent="0.2">
      <c r="A90" s="1207" t="s">
        <v>1265</v>
      </c>
      <c r="B90" s="1208" t="s">
        <v>2471</v>
      </c>
      <c r="C90" s="1207" t="s">
        <v>1265</v>
      </c>
      <c r="D90" s="1208" t="s">
        <v>2476</v>
      </c>
      <c r="E90" s="1202"/>
      <c r="F90" s="1213"/>
      <c r="G90" s="1210"/>
      <c r="I90" s="707"/>
      <c r="J90" s="707"/>
      <c r="K90" s="707"/>
      <c r="L90" s="707"/>
      <c r="M90" s="707"/>
      <c r="N90" s="707"/>
      <c r="O90" s="707"/>
      <c r="P90" s="1204"/>
    </row>
    <row r="91" spans="1:17" s="1203" customFormat="1" ht="13.5" customHeight="1" x14ac:dyDescent="0.2">
      <c r="A91" s="1207" t="s">
        <v>1260</v>
      </c>
      <c r="B91" s="1208" t="s">
        <v>2417</v>
      </c>
      <c r="C91" s="1207" t="s">
        <v>1260</v>
      </c>
      <c r="D91" s="1208" t="s">
        <v>2477</v>
      </c>
      <c r="E91" s="1202"/>
      <c r="F91" s="1213"/>
      <c r="G91" s="1210"/>
      <c r="I91" s="707"/>
      <c r="J91" s="707"/>
      <c r="K91" s="707"/>
      <c r="L91" s="707"/>
      <c r="M91" s="707"/>
      <c r="N91" s="707"/>
      <c r="O91" s="707"/>
      <c r="P91" s="1204"/>
    </row>
    <row r="92" spans="1:17" s="1203" customFormat="1" ht="13.5" customHeight="1" x14ac:dyDescent="0.2">
      <c r="A92" s="1207" t="s">
        <v>1266</v>
      </c>
      <c r="B92" s="1208" t="s">
        <v>2472</v>
      </c>
      <c r="C92" s="1207" t="s">
        <v>1266</v>
      </c>
      <c r="D92" s="1208" t="s">
        <v>2478</v>
      </c>
      <c r="E92" s="1202"/>
      <c r="F92" s="1213"/>
      <c r="G92" s="1210"/>
      <c r="I92" s="707"/>
      <c r="J92" s="707"/>
      <c r="K92" s="707"/>
      <c r="L92" s="707"/>
      <c r="M92" s="707"/>
      <c r="N92" s="707"/>
      <c r="O92" s="707"/>
      <c r="P92" s="1204"/>
    </row>
    <row r="93" spans="1:17" s="1203" customFormat="1" ht="13.5" customHeight="1" x14ac:dyDescent="0.2">
      <c r="A93" s="1371" t="s">
        <v>1276</v>
      </c>
      <c r="B93" s="1372"/>
      <c r="C93" s="1371" t="s">
        <v>1276</v>
      </c>
      <c r="D93" s="1372"/>
      <c r="E93" s="1202"/>
      <c r="F93" s="1213"/>
      <c r="G93" s="1210"/>
      <c r="I93" s="707"/>
      <c r="J93" s="707"/>
      <c r="K93" s="707"/>
      <c r="L93" s="707"/>
      <c r="M93" s="707"/>
      <c r="N93" s="707"/>
      <c r="O93" s="707"/>
      <c r="P93" s="1204"/>
    </row>
    <row r="94" spans="1:17" s="1200" customFormat="1" ht="13.5" customHeight="1" x14ac:dyDescent="0.2">
      <c r="A94" s="1207" t="s">
        <v>1493</v>
      </c>
      <c r="B94" s="1208" t="s">
        <v>2479</v>
      </c>
      <c r="C94" s="1207" t="s">
        <v>1493</v>
      </c>
      <c r="D94" s="1208" t="s">
        <v>2483</v>
      </c>
      <c r="E94" s="1202"/>
      <c r="F94" s="1203"/>
      <c r="G94" s="1203"/>
      <c r="H94" s="1203"/>
      <c r="I94" s="707"/>
      <c r="J94" s="707"/>
      <c r="K94" s="707"/>
      <c r="L94" s="707"/>
      <c r="M94" s="707"/>
      <c r="N94" s="707"/>
      <c r="O94" s="707"/>
      <c r="P94" s="1204"/>
      <c r="Q94" s="707"/>
    </row>
    <row r="95" spans="1:17" s="1200" customFormat="1" ht="13.5" customHeight="1" x14ac:dyDescent="0.2">
      <c r="A95" s="1207" t="s">
        <v>1494</v>
      </c>
      <c r="B95" s="1208" t="s">
        <v>2430</v>
      </c>
      <c r="C95" s="1207" t="s">
        <v>1494</v>
      </c>
      <c r="D95" s="1208" t="s">
        <v>2445</v>
      </c>
      <c r="E95" s="1202"/>
      <c r="F95" s="1203"/>
      <c r="G95" s="1203"/>
      <c r="H95" s="1203"/>
      <c r="I95" s="707"/>
      <c r="J95" s="707"/>
      <c r="K95" s="707"/>
      <c r="L95" s="707"/>
      <c r="M95" s="707"/>
      <c r="N95" s="707"/>
      <c r="O95" s="707"/>
      <c r="P95" s="1204"/>
      <c r="Q95" s="707"/>
    </row>
    <row r="96" spans="1:17" s="1203" customFormat="1" ht="13.5" customHeight="1" x14ac:dyDescent="0.2">
      <c r="A96" s="1207" t="s">
        <v>1264</v>
      </c>
      <c r="B96" s="1208" t="s">
        <v>2480</v>
      </c>
      <c r="C96" s="1207" t="s">
        <v>1264</v>
      </c>
      <c r="D96" s="1208" t="s">
        <v>2484</v>
      </c>
      <c r="E96" s="1202"/>
      <c r="F96" s="1213"/>
      <c r="G96" s="1210"/>
      <c r="I96" s="707"/>
      <c r="J96" s="707"/>
      <c r="K96" s="707"/>
      <c r="L96" s="707"/>
      <c r="M96" s="707"/>
      <c r="N96" s="707"/>
      <c r="O96" s="707"/>
      <c r="P96" s="1204"/>
    </row>
    <row r="97" spans="1:17" s="1203" customFormat="1" ht="13.5" customHeight="1" x14ac:dyDescent="0.2">
      <c r="A97" s="1207" t="s">
        <v>1259</v>
      </c>
      <c r="B97" s="1208" t="s">
        <v>2481</v>
      </c>
      <c r="C97" s="1207" t="s">
        <v>1259</v>
      </c>
      <c r="D97" s="1208" t="s">
        <v>2485</v>
      </c>
      <c r="E97" s="1202"/>
      <c r="F97" s="1213"/>
      <c r="G97" s="1210"/>
      <c r="I97" s="707"/>
      <c r="J97" s="707"/>
      <c r="K97" s="707"/>
      <c r="L97" s="707"/>
      <c r="M97" s="707"/>
      <c r="N97" s="707"/>
      <c r="O97" s="707"/>
      <c r="P97" s="1204"/>
    </row>
    <row r="98" spans="1:17" s="1203" customFormat="1" ht="13.5" customHeight="1" x14ac:dyDescent="0.2">
      <c r="A98" s="1207" t="s">
        <v>1265</v>
      </c>
      <c r="B98" s="1446"/>
      <c r="C98" s="1207" t="s">
        <v>1265</v>
      </c>
      <c r="D98" s="1208" t="s">
        <v>2486</v>
      </c>
      <c r="E98" s="1202"/>
      <c r="F98" s="1213"/>
      <c r="G98" s="1210"/>
      <c r="I98" s="707"/>
      <c r="J98" s="707"/>
      <c r="K98" s="707"/>
      <c r="L98" s="707"/>
      <c r="M98" s="707"/>
      <c r="N98" s="707"/>
      <c r="O98" s="707"/>
      <c r="P98" s="1204"/>
    </row>
    <row r="99" spans="1:17" s="1203" customFormat="1" ht="13.5" customHeight="1" x14ac:dyDescent="0.2">
      <c r="A99" s="1207" t="s">
        <v>1260</v>
      </c>
      <c r="B99" s="1208" t="s">
        <v>2417</v>
      </c>
      <c r="C99" s="1207" t="s">
        <v>1260</v>
      </c>
      <c r="D99" s="1208" t="s">
        <v>2477</v>
      </c>
      <c r="E99" s="1202"/>
      <c r="F99" s="1213"/>
      <c r="G99" s="1210"/>
      <c r="I99" s="707"/>
      <c r="J99" s="707"/>
      <c r="K99" s="707"/>
      <c r="L99" s="707"/>
      <c r="M99" s="707"/>
      <c r="N99" s="707"/>
      <c r="O99" s="707"/>
      <c r="P99" s="1204"/>
    </row>
    <row r="100" spans="1:17" s="1203" customFormat="1" ht="13.5" customHeight="1" x14ac:dyDescent="0.2">
      <c r="A100" s="1207" t="s">
        <v>1266</v>
      </c>
      <c r="B100" s="1208" t="s">
        <v>2482</v>
      </c>
      <c r="C100" s="1207" t="s">
        <v>1266</v>
      </c>
      <c r="D100" s="1208" t="s">
        <v>2487</v>
      </c>
      <c r="E100" s="1202"/>
      <c r="F100" s="1213"/>
      <c r="G100" s="1210"/>
      <c r="I100" s="707"/>
      <c r="J100" s="707"/>
      <c r="K100" s="707"/>
      <c r="L100" s="707"/>
      <c r="M100" s="707"/>
      <c r="N100" s="707"/>
      <c r="O100" s="707"/>
      <c r="P100" s="1204"/>
    </row>
    <row r="101" spans="1:17" s="1203" customFormat="1" ht="12.75" customHeight="1" x14ac:dyDescent="0.2">
      <c r="A101" s="1371" t="s">
        <v>1276</v>
      </c>
      <c r="B101" s="1372"/>
      <c r="C101" s="1371" t="s">
        <v>1276</v>
      </c>
      <c r="D101" s="1372"/>
      <c r="E101" s="1202"/>
      <c r="F101" s="1213"/>
      <c r="G101" s="1210"/>
      <c r="I101" s="707"/>
      <c r="J101" s="707"/>
      <c r="K101" s="707"/>
      <c r="L101" s="707"/>
      <c r="M101" s="707"/>
      <c r="N101" s="707"/>
      <c r="O101" s="707"/>
      <c r="P101" s="1204"/>
    </row>
    <row r="102" spans="1:17" s="1200" customFormat="1" ht="13.5" customHeight="1" x14ac:dyDescent="0.2">
      <c r="A102" s="1207" t="s">
        <v>1493</v>
      </c>
      <c r="B102" s="1208" t="s">
        <v>2488</v>
      </c>
      <c r="C102" s="1207" t="s">
        <v>1493</v>
      </c>
      <c r="D102" s="1208" t="s">
        <v>2493</v>
      </c>
      <c r="E102" s="1202"/>
      <c r="F102" s="1203"/>
      <c r="G102" s="1203"/>
      <c r="H102" s="1203"/>
      <c r="I102" s="707"/>
      <c r="J102" s="707"/>
      <c r="K102" s="707"/>
      <c r="L102" s="707"/>
      <c r="M102" s="707"/>
      <c r="N102" s="707"/>
      <c r="O102" s="707"/>
      <c r="P102" s="1204"/>
      <c r="Q102" s="707"/>
    </row>
    <row r="103" spans="1:17" s="1203" customFormat="1" ht="12.75" customHeight="1" x14ac:dyDescent="0.2">
      <c r="A103" s="1207" t="s">
        <v>1494</v>
      </c>
      <c r="B103" s="1208" t="s">
        <v>2419</v>
      </c>
      <c r="C103" s="1207" t="s">
        <v>1494</v>
      </c>
      <c r="D103" s="1208" t="s">
        <v>2419</v>
      </c>
      <c r="E103" s="1202"/>
      <c r="F103" s="1213"/>
      <c r="G103" s="1210"/>
      <c r="I103" s="707"/>
      <c r="J103" s="707"/>
      <c r="K103" s="707"/>
      <c r="L103" s="707"/>
      <c r="M103" s="707"/>
      <c r="N103" s="707"/>
      <c r="O103" s="707"/>
      <c r="P103" s="1204"/>
    </row>
    <row r="104" spans="1:17" s="1203" customFormat="1" ht="12.75" customHeight="1" x14ac:dyDescent="0.2">
      <c r="A104" s="1207" t="s">
        <v>1264</v>
      </c>
      <c r="B104" s="1208" t="s">
        <v>2489</v>
      </c>
      <c r="C104" s="1207" t="s">
        <v>1264</v>
      </c>
      <c r="D104" s="1208" t="s">
        <v>2494</v>
      </c>
      <c r="E104" s="1202"/>
      <c r="F104" s="1213"/>
      <c r="G104" s="1210"/>
      <c r="I104" s="707"/>
      <c r="J104" s="707"/>
      <c r="K104" s="707"/>
      <c r="L104" s="707"/>
      <c r="M104" s="707"/>
      <c r="N104" s="707"/>
      <c r="O104" s="707"/>
      <c r="P104" s="1204"/>
    </row>
    <row r="105" spans="1:17" s="1203" customFormat="1" ht="12.75" customHeight="1" x14ac:dyDescent="0.2">
      <c r="A105" s="1207" t="s">
        <v>1259</v>
      </c>
      <c r="B105" s="1208" t="s">
        <v>2490</v>
      </c>
      <c r="C105" s="1207" t="s">
        <v>1259</v>
      </c>
      <c r="D105" s="1208" t="s">
        <v>2495</v>
      </c>
      <c r="E105" s="1202"/>
      <c r="F105" s="1213"/>
      <c r="G105" s="1210"/>
      <c r="I105" s="707"/>
      <c r="J105" s="707"/>
      <c r="K105" s="707"/>
      <c r="L105" s="707"/>
      <c r="M105" s="707"/>
      <c r="N105" s="707"/>
      <c r="O105" s="707"/>
      <c r="P105" s="1204"/>
    </row>
    <row r="106" spans="1:17" s="1230" customFormat="1" ht="12.75" customHeight="1" x14ac:dyDescent="0.2">
      <c r="A106" s="1207" t="s">
        <v>1265</v>
      </c>
      <c r="B106" s="1208" t="s">
        <v>2491</v>
      </c>
      <c r="C106" s="1207" t="s">
        <v>1265</v>
      </c>
      <c r="D106" s="1208" t="s">
        <v>2496</v>
      </c>
      <c r="E106" s="1229"/>
      <c r="F106" s="1213"/>
      <c r="G106" s="1210"/>
      <c r="I106" s="707"/>
      <c r="J106" s="707"/>
      <c r="K106" s="707"/>
      <c r="L106" s="707"/>
      <c r="M106" s="707"/>
      <c r="N106" s="707"/>
      <c r="O106" s="707"/>
      <c r="P106" s="1204"/>
      <c r="Q106" s="1203"/>
    </row>
    <row r="107" spans="1:17" s="707" customFormat="1" ht="12.75" customHeight="1" x14ac:dyDescent="0.2">
      <c r="A107" s="1207" t="s">
        <v>1260</v>
      </c>
      <c r="B107" s="1208" t="s">
        <v>2417</v>
      </c>
      <c r="C107" s="1207" t="s">
        <v>1260</v>
      </c>
      <c r="D107" s="1208" t="s">
        <v>2497</v>
      </c>
      <c r="E107" s="1231"/>
      <c r="F107" s="1213"/>
      <c r="G107" s="1210"/>
      <c r="P107" s="1204"/>
      <c r="Q107" s="1203"/>
    </row>
    <row r="108" spans="1:17" s="707" customFormat="1" ht="12.75" customHeight="1" x14ac:dyDescent="0.2">
      <c r="A108" s="1207" t="s">
        <v>1266</v>
      </c>
      <c r="B108" s="1208" t="s">
        <v>2492</v>
      </c>
      <c r="C108" s="1207" t="s">
        <v>1266</v>
      </c>
      <c r="D108" s="1208" t="s">
        <v>2498</v>
      </c>
      <c r="E108" s="1231"/>
      <c r="F108" s="1213"/>
      <c r="G108" s="1210"/>
      <c r="P108" s="1204"/>
      <c r="Q108" s="1203"/>
    </row>
    <row r="109" spans="1:17" s="1203" customFormat="1" ht="12.75" customHeight="1" x14ac:dyDescent="0.2">
      <c r="A109" s="1371" t="s">
        <v>1276</v>
      </c>
      <c r="B109" s="1372"/>
      <c r="C109" s="1371" t="s">
        <v>1276</v>
      </c>
      <c r="D109" s="1372"/>
      <c r="E109" s="1202"/>
      <c r="I109" s="707"/>
      <c r="J109" s="707"/>
      <c r="K109" s="707"/>
      <c r="L109" s="707"/>
      <c r="M109" s="707"/>
      <c r="N109" s="707"/>
      <c r="O109" s="707"/>
      <c r="P109" s="1204"/>
    </row>
    <row r="110" spans="1:17" s="1200" customFormat="1" ht="13.5" customHeight="1" x14ac:dyDescent="0.2">
      <c r="A110" s="1207" t="s">
        <v>1493</v>
      </c>
      <c r="B110" s="1208" t="s">
        <v>2499</v>
      </c>
      <c r="C110" s="1207" t="s">
        <v>1493</v>
      </c>
      <c r="D110" s="1208"/>
      <c r="E110" s="1202"/>
      <c r="F110" s="1203"/>
      <c r="G110" s="1203"/>
      <c r="H110" s="1203"/>
      <c r="I110" s="707"/>
      <c r="J110" s="707"/>
      <c r="K110" s="707"/>
      <c r="L110" s="707"/>
      <c r="M110" s="707"/>
      <c r="N110" s="707"/>
      <c r="O110" s="707"/>
      <c r="P110" s="1204"/>
      <c r="Q110" s="707"/>
    </row>
    <row r="111" spans="1:17" s="1203" customFormat="1" ht="12.75" customHeight="1" x14ac:dyDescent="0.2">
      <c r="A111" s="1207" t="s">
        <v>1494</v>
      </c>
      <c r="B111" s="1208" t="s">
        <v>2430</v>
      </c>
      <c r="C111" s="1207" t="s">
        <v>1494</v>
      </c>
      <c r="D111" s="1208"/>
      <c r="E111" s="1202"/>
      <c r="I111" s="707"/>
      <c r="J111" s="707"/>
      <c r="K111" s="707"/>
      <c r="L111" s="707"/>
      <c r="M111" s="707"/>
      <c r="N111" s="707"/>
      <c r="O111" s="707"/>
      <c r="P111" s="1204"/>
    </row>
    <row r="112" spans="1:17" s="1203" customFormat="1" ht="12.75" customHeight="1" x14ac:dyDescent="0.2">
      <c r="A112" s="1207" t="s">
        <v>1264</v>
      </c>
      <c r="B112" s="1208" t="s">
        <v>2500</v>
      </c>
      <c r="C112" s="1207" t="s">
        <v>1264</v>
      </c>
      <c r="D112" s="1208"/>
      <c r="E112" s="1202"/>
      <c r="I112" s="707"/>
      <c r="J112" s="707"/>
      <c r="K112" s="707"/>
      <c r="L112" s="707"/>
      <c r="M112" s="707"/>
      <c r="N112" s="707"/>
      <c r="O112" s="707"/>
      <c r="P112" s="1204"/>
    </row>
    <row r="113" spans="1:25" s="1203" customFormat="1" ht="12.75" customHeight="1" x14ac:dyDescent="0.2">
      <c r="A113" s="1207" t="s">
        <v>1259</v>
      </c>
      <c r="B113" s="1208" t="s">
        <v>2451</v>
      </c>
      <c r="C113" s="1207" t="s">
        <v>1259</v>
      </c>
      <c r="D113" s="1208"/>
      <c r="E113" s="1202"/>
      <c r="I113" s="707"/>
      <c r="J113" s="707"/>
      <c r="K113" s="707"/>
      <c r="L113" s="707"/>
      <c r="M113" s="707"/>
      <c r="N113" s="707"/>
      <c r="O113" s="707"/>
      <c r="P113" s="1204"/>
    </row>
    <row r="114" spans="1:25" s="1200" customFormat="1" ht="12.75" customHeight="1" x14ac:dyDescent="0.2">
      <c r="A114" s="1207" t="s">
        <v>1265</v>
      </c>
      <c r="B114" s="1208" t="s">
        <v>2501</v>
      </c>
      <c r="C114" s="1207" t="s">
        <v>1265</v>
      </c>
      <c r="D114" s="1208"/>
      <c r="E114" s="1232"/>
      <c r="F114" s="1203"/>
      <c r="G114" s="1203"/>
      <c r="H114" s="1203"/>
      <c r="I114" s="707"/>
      <c r="J114" s="707"/>
      <c r="K114" s="707"/>
      <c r="L114" s="707"/>
      <c r="M114" s="707"/>
      <c r="N114" s="707"/>
      <c r="O114" s="707"/>
      <c r="P114" s="1204"/>
      <c r="Q114" s="1203"/>
      <c r="R114" s="1233"/>
      <c r="S114" s="1233"/>
      <c r="T114" s="1233"/>
      <c r="U114" s="1233"/>
      <c r="V114" s="1233"/>
      <c r="W114" s="1233"/>
      <c r="X114" s="1233"/>
      <c r="Y114" s="1233"/>
    </row>
    <row r="115" spans="1:25" s="1200" customFormat="1" ht="12.75" customHeight="1" x14ac:dyDescent="0.2">
      <c r="A115" s="1207" t="s">
        <v>1260</v>
      </c>
      <c r="B115" s="1208" t="s">
        <v>2417</v>
      </c>
      <c r="C115" s="1207" t="s">
        <v>1260</v>
      </c>
      <c r="D115" s="1208"/>
      <c r="E115" s="1232"/>
      <c r="F115" s="1203"/>
      <c r="G115" s="1203"/>
      <c r="H115" s="1203"/>
      <c r="I115" s="707"/>
      <c r="J115" s="707"/>
      <c r="K115" s="707"/>
      <c r="L115" s="707"/>
      <c r="M115" s="707"/>
      <c r="N115" s="707"/>
      <c r="O115" s="707"/>
      <c r="P115" s="1204"/>
      <c r="Q115" s="1203"/>
      <c r="R115" s="1233"/>
      <c r="S115" s="1233"/>
      <c r="T115" s="1233"/>
      <c r="U115" s="1233"/>
      <c r="V115" s="1233"/>
      <c r="W115" s="1233"/>
      <c r="X115" s="1233"/>
      <c r="Y115" s="1233"/>
    </row>
    <row r="116" spans="1:25" s="1200" customFormat="1" ht="12.75" customHeight="1" x14ac:dyDescent="0.2">
      <c r="A116" s="1207" t="s">
        <v>1266</v>
      </c>
      <c r="B116" s="1208" t="s">
        <v>2502</v>
      </c>
      <c r="C116" s="1207" t="s">
        <v>1266</v>
      </c>
      <c r="D116" s="1208"/>
      <c r="E116" s="1232"/>
      <c r="F116" s="1203"/>
      <c r="G116" s="1203"/>
      <c r="H116" s="1203"/>
      <c r="I116" s="707"/>
      <c r="J116" s="707"/>
      <c r="K116" s="707"/>
      <c r="L116" s="707"/>
      <c r="M116" s="707"/>
      <c r="N116" s="707"/>
      <c r="O116" s="707"/>
      <c r="P116" s="1204"/>
      <c r="Q116" s="1203"/>
      <c r="R116" s="1233"/>
      <c r="S116" s="1233"/>
      <c r="T116" s="1233"/>
      <c r="U116" s="1233"/>
      <c r="V116" s="1233"/>
      <c r="W116" s="1233"/>
      <c r="X116" s="1233"/>
      <c r="Y116" s="1233"/>
    </row>
    <row r="117" spans="1:25" s="1200" customFormat="1" ht="12.75" customHeight="1" x14ac:dyDescent="0.2">
      <c r="A117" s="1371" t="s">
        <v>1276</v>
      </c>
      <c r="B117" s="1372"/>
      <c r="C117" s="1371" t="s">
        <v>1276</v>
      </c>
      <c r="D117" s="1372"/>
      <c r="E117" s="1232"/>
      <c r="F117" s="1203"/>
      <c r="G117" s="1203"/>
      <c r="H117" s="1203"/>
      <c r="I117" s="707"/>
      <c r="J117" s="707"/>
      <c r="K117" s="707"/>
      <c r="L117" s="707"/>
      <c r="M117" s="707"/>
      <c r="N117" s="707"/>
      <c r="O117" s="707"/>
      <c r="P117" s="1204"/>
      <c r="Q117" s="1203"/>
      <c r="R117" s="1233"/>
      <c r="S117" s="1233"/>
      <c r="T117" s="1233"/>
      <c r="U117" s="1233"/>
      <c r="V117" s="1233"/>
      <c r="W117" s="1233"/>
      <c r="X117" s="1233"/>
      <c r="Y117" s="1233"/>
    </row>
    <row r="118" spans="1:25" s="1200" customFormat="1" ht="13.5" customHeight="1" x14ac:dyDescent="0.2">
      <c r="A118" s="1207" t="s">
        <v>1493</v>
      </c>
      <c r="B118" s="1208"/>
      <c r="C118" s="1207" t="s">
        <v>1493</v>
      </c>
      <c r="D118" s="1208"/>
      <c r="E118" s="1202"/>
      <c r="F118" s="1203"/>
      <c r="G118" s="1203"/>
      <c r="H118" s="1203"/>
      <c r="I118" s="707"/>
      <c r="J118" s="707"/>
      <c r="K118" s="707"/>
      <c r="L118" s="707"/>
      <c r="M118" s="707"/>
      <c r="N118" s="707"/>
      <c r="O118" s="707"/>
      <c r="P118" s="1204"/>
      <c r="Q118" s="707"/>
    </row>
    <row r="119" spans="1:25" s="1200" customFormat="1" ht="12.75" customHeight="1" x14ac:dyDescent="0.2">
      <c r="A119" s="1207" t="s">
        <v>1494</v>
      </c>
      <c r="B119" s="1208"/>
      <c r="C119" s="1207" t="s">
        <v>1494</v>
      </c>
      <c r="D119" s="1208"/>
      <c r="E119" s="1232"/>
      <c r="F119" s="1203"/>
      <c r="G119" s="1203"/>
      <c r="H119" s="1203"/>
      <c r="I119" s="707"/>
      <c r="J119" s="707"/>
      <c r="K119" s="707"/>
      <c r="L119" s="707"/>
      <c r="M119" s="707"/>
      <c r="N119" s="707"/>
      <c r="O119" s="707"/>
      <c r="P119" s="1204"/>
      <c r="Q119" s="1203"/>
      <c r="R119" s="1233"/>
      <c r="S119" s="1233"/>
      <c r="T119" s="1233"/>
      <c r="U119" s="1233"/>
      <c r="V119" s="1233"/>
      <c r="W119" s="1233"/>
      <c r="X119" s="1233"/>
      <c r="Y119" s="1233"/>
    </row>
    <row r="120" spans="1:25" s="1200" customFormat="1" ht="12.75" customHeight="1" x14ac:dyDescent="0.2">
      <c r="A120" s="1207" t="s">
        <v>1264</v>
      </c>
      <c r="B120" s="1208"/>
      <c r="C120" s="1207" t="s">
        <v>1264</v>
      </c>
      <c r="D120" s="1208"/>
      <c r="E120" s="1232"/>
      <c r="F120" s="1203"/>
      <c r="G120" s="1203"/>
      <c r="H120" s="1203"/>
      <c r="I120" s="707"/>
      <c r="J120" s="707"/>
      <c r="K120" s="707"/>
      <c r="L120" s="707"/>
      <c r="M120" s="707"/>
      <c r="N120" s="707"/>
      <c r="O120" s="707"/>
      <c r="P120" s="1204"/>
      <c r="Q120" s="1203"/>
      <c r="R120" s="1233"/>
      <c r="S120" s="1233"/>
      <c r="T120" s="1233"/>
      <c r="U120" s="1233"/>
      <c r="V120" s="1233"/>
      <c r="W120" s="1233"/>
      <c r="X120" s="1233"/>
      <c r="Y120" s="1233"/>
    </row>
    <row r="121" spans="1:25" s="1200" customFormat="1" ht="12.75" customHeight="1" x14ac:dyDescent="0.2">
      <c r="A121" s="1207" t="s">
        <v>1259</v>
      </c>
      <c r="B121" s="1208"/>
      <c r="C121" s="1207" t="s">
        <v>1259</v>
      </c>
      <c r="D121" s="1208"/>
      <c r="E121" s="1232"/>
      <c r="F121" s="1203"/>
      <c r="G121" s="1203"/>
      <c r="H121" s="1203"/>
      <c r="I121" s="707"/>
      <c r="J121" s="707"/>
      <c r="K121" s="707"/>
      <c r="L121" s="707"/>
      <c r="M121" s="707"/>
      <c r="N121" s="707"/>
      <c r="O121" s="707"/>
      <c r="P121" s="1204"/>
      <c r="Q121" s="1203"/>
      <c r="R121" s="1233"/>
      <c r="S121" s="1233"/>
      <c r="T121" s="1233"/>
      <c r="U121" s="1233"/>
      <c r="V121" s="1233"/>
      <c r="W121" s="1233"/>
      <c r="X121" s="1233"/>
      <c r="Y121" s="1233"/>
    </row>
    <row r="122" spans="1:25" s="1200" customFormat="1" ht="12.75" customHeight="1" x14ac:dyDescent="0.2">
      <c r="A122" s="1207" t="s">
        <v>1265</v>
      </c>
      <c r="B122" s="1208"/>
      <c r="C122" s="1207" t="s">
        <v>1265</v>
      </c>
      <c r="D122" s="1208"/>
      <c r="E122" s="1232"/>
      <c r="F122" s="1203"/>
      <c r="G122" s="1203"/>
      <c r="H122" s="1203"/>
      <c r="I122" s="707"/>
      <c r="J122" s="707"/>
      <c r="K122" s="707"/>
      <c r="L122" s="707"/>
      <c r="M122" s="707"/>
      <c r="N122" s="707"/>
      <c r="O122" s="707"/>
      <c r="P122" s="1204"/>
      <c r="Q122" s="1203"/>
      <c r="R122" s="1233"/>
      <c r="S122" s="1233"/>
      <c r="T122" s="1233"/>
      <c r="U122" s="1233"/>
      <c r="V122" s="1233"/>
      <c r="W122" s="1233"/>
      <c r="X122" s="1233"/>
      <c r="Y122" s="1233"/>
    </row>
    <row r="123" spans="1:25" s="1200" customFormat="1" ht="12.75" customHeight="1" x14ac:dyDescent="0.2">
      <c r="A123" s="1207" t="s">
        <v>1260</v>
      </c>
      <c r="B123" s="1208"/>
      <c r="C123" s="1207" t="s">
        <v>1260</v>
      </c>
      <c r="D123" s="1208"/>
      <c r="E123" s="1232"/>
      <c r="F123" s="1203"/>
      <c r="G123" s="1203"/>
      <c r="H123" s="1203"/>
      <c r="I123" s="707"/>
      <c r="J123" s="707"/>
      <c r="K123" s="707"/>
      <c r="L123" s="707"/>
      <c r="M123" s="707"/>
      <c r="N123" s="707"/>
      <c r="O123" s="707"/>
      <c r="P123" s="1204"/>
      <c r="Q123" s="1203"/>
      <c r="R123" s="1233"/>
      <c r="S123" s="1233"/>
      <c r="T123" s="1233"/>
      <c r="U123" s="1233"/>
      <c r="V123" s="1233"/>
      <c r="W123" s="1233"/>
      <c r="X123" s="1233"/>
      <c r="Y123" s="1233"/>
    </row>
    <row r="124" spans="1:25" s="1200" customFormat="1" ht="12.75" customHeight="1" x14ac:dyDescent="0.2">
      <c r="A124" s="1207" t="s">
        <v>1266</v>
      </c>
      <c r="B124" s="1208"/>
      <c r="C124" s="1207" t="s">
        <v>1266</v>
      </c>
      <c r="D124" s="1208"/>
      <c r="E124" s="1232"/>
      <c r="F124" s="1203"/>
      <c r="G124" s="1203"/>
      <c r="H124" s="1203"/>
      <c r="I124" s="707"/>
      <c r="J124" s="707"/>
      <c r="K124" s="707"/>
      <c r="L124" s="707"/>
      <c r="M124" s="707"/>
      <c r="N124" s="707"/>
      <c r="O124" s="707"/>
      <c r="P124" s="1204"/>
      <c r="Q124" s="1203"/>
      <c r="R124" s="1233"/>
      <c r="S124" s="1233"/>
      <c r="T124" s="1233"/>
      <c r="U124" s="1233"/>
      <c r="V124" s="1233"/>
      <c r="W124" s="1233"/>
      <c r="X124" s="1233"/>
      <c r="Y124" s="1233"/>
    </row>
    <row r="125" spans="1:25" s="1200" customFormat="1" ht="12.75" customHeight="1" x14ac:dyDescent="0.2">
      <c r="A125" s="1371" t="s">
        <v>1276</v>
      </c>
      <c r="B125" s="1372"/>
      <c r="C125" s="1371" t="s">
        <v>1276</v>
      </c>
      <c r="D125" s="1372"/>
      <c r="E125" s="1232"/>
      <c r="F125" s="1203"/>
      <c r="G125" s="1203"/>
      <c r="H125" s="1203"/>
      <c r="I125" s="707"/>
      <c r="J125" s="707"/>
      <c r="K125" s="707"/>
      <c r="L125" s="707"/>
      <c r="M125" s="707"/>
      <c r="N125" s="707"/>
      <c r="O125" s="707"/>
      <c r="P125" s="1204"/>
      <c r="Q125" s="1203"/>
      <c r="R125" s="1233"/>
      <c r="S125" s="1233"/>
      <c r="T125" s="1233"/>
      <c r="U125" s="1233"/>
      <c r="V125" s="1233"/>
      <c r="W125" s="1233"/>
      <c r="X125" s="1233"/>
      <c r="Y125" s="1233"/>
    </row>
    <row r="126" spans="1:25" s="1200" customFormat="1" ht="13.5" customHeight="1" x14ac:dyDescent="0.2">
      <c r="A126" s="1207" t="s">
        <v>1493</v>
      </c>
      <c r="B126" s="1208"/>
      <c r="C126" s="1207" t="s">
        <v>1493</v>
      </c>
      <c r="D126" s="1208"/>
      <c r="E126" s="1202"/>
      <c r="F126" s="1203"/>
      <c r="G126" s="1203"/>
      <c r="H126" s="1203"/>
      <c r="I126" s="707"/>
      <c r="J126" s="707"/>
      <c r="K126" s="707"/>
      <c r="L126" s="707"/>
      <c r="M126" s="707"/>
      <c r="N126" s="707"/>
      <c r="O126" s="707"/>
      <c r="P126" s="1204"/>
      <c r="Q126" s="707"/>
    </row>
    <row r="127" spans="1:25" s="1200" customFormat="1" ht="12.75" customHeight="1" x14ac:dyDescent="0.2">
      <c r="A127" s="1207" t="s">
        <v>1494</v>
      </c>
      <c r="B127" s="1208"/>
      <c r="C127" s="1207" t="s">
        <v>1494</v>
      </c>
      <c r="D127" s="1208"/>
      <c r="E127" s="1232"/>
      <c r="F127" s="1203"/>
      <c r="G127" s="1203"/>
      <c r="H127" s="1203"/>
      <c r="I127" s="707"/>
      <c r="J127" s="707"/>
      <c r="K127" s="707"/>
      <c r="L127" s="707"/>
      <c r="M127" s="707"/>
      <c r="N127" s="707"/>
      <c r="O127" s="707"/>
      <c r="P127" s="1204"/>
      <c r="Q127" s="1203"/>
      <c r="R127" s="1233"/>
      <c r="S127" s="1233"/>
      <c r="T127" s="1233"/>
      <c r="U127" s="1233"/>
      <c r="V127" s="1233"/>
      <c r="W127" s="1233"/>
      <c r="X127" s="1233"/>
      <c r="Y127" s="1233"/>
    </row>
    <row r="128" spans="1:25" s="1200" customFormat="1" ht="12.75" customHeight="1" x14ac:dyDescent="0.2">
      <c r="A128" s="1207" t="s">
        <v>1264</v>
      </c>
      <c r="B128" s="1208"/>
      <c r="C128" s="1207" t="s">
        <v>1264</v>
      </c>
      <c r="D128" s="1208"/>
      <c r="E128" s="1232"/>
      <c r="F128" s="1203"/>
      <c r="G128" s="1203"/>
      <c r="H128" s="1203"/>
      <c r="I128" s="707"/>
      <c r="J128" s="707"/>
      <c r="K128" s="707"/>
      <c r="L128" s="707"/>
      <c r="M128" s="707"/>
      <c r="N128" s="707"/>
      <c r="O128" s="707"/>
      <c r="P128" s="1204"/>
      <c r="Q128" s="1203"/>
      <c r="R128" s="1233"/>
      <c r="S128" s="1233"/>
      <c r="T128" s="1233"/>
      <c r="U128" s="1233"/>
      <c r="V128" s="1233"/>
      <c r="W128" s="1233"/>
      <c r="X128" s="1233"/>
      <c r="Y128" s="1233"/>
    </row>
    <row r="129" spans="1:25" s="1200" customFormat="1" ht="12.75" customHeight="1" x14ac:dyDescent="0.2">
      <c r="A129" s="1207" t="s">
        <v>1259</v>
      </c>
      <c r="B129" s="1208"/>
      <c r="C129" s="1207" t="s">
        <v>1259</v>
      </c>
      <c r="D129" s="1208"/>
      <c r="E129" s="1232"/>
      <c r="F129" s="1203"/>
      <c r="G129" s="1203"/>
      <c r="H129" s="1203"/>
      <c r="I129" s="707"/>
      <c r="J129" s="707"/>
      <c r="K129" s="707"/>
      <c r="L129" s="707"/>
      <c r="M129" s="707"/>
      <c r="N129" s="707"/>
      <c r="O129" s="707"/>
      <c r="P129" s="1204"/>
      <c r="Q129" s="1203"/>
      <c r="R129" s="1233"/>
      <c r="S129" s="1233"/>
      <c r="T129" s="1233"/>
      <c r="U129" s="1233"/>
      <c r="V129" s="1233"/>
      <c r="W129" s="1233"/>
      <c r="X129" s="1233"/>
      <c r="Y129" s="1233"/>
    </row>
    <row r="130" spans="1:25" s="1200" customFormat="1" ht="12.75" customHeight="1" x14ac:dyDescent="0.2">
      <c r="A130" s="1207" t="s">
        <v>1265</v>
      </c>
      <c r="B130" s="1208"/>
      <c r="C130" s="1207" t="s">
        <v>1265</v>
      </c>
      <c r="D130" s="1208"/>
      <c r="E130" s="1232"/>
      <c r="F130" s="1203"/>
      <c r="G130" s="1203"/>
      <c r="H130" s="1203"/>
      <c r="I130" s="707"/>
      <c r="J130" s="707"/>
      <c r="K130" s="707"/>
      <c r="L130" s="707"/>
      <c r="M130" s="707"/>
      <c r="N130" s="707"/>
      <c r="O130" s="707"/>
      <c r="P130" s="1204"/>
      <c r="Q130" s="1203"/>
      <c r="R130" s="1233"/>
      <c r="S130" s="1233"/>
      <c r="T130" s="1233"/>
      <c r="U130" s="1233"/>
      <c r="V130" s="1233"/>
      <c r="W130" s="1233"/>
      <c r="X130" s="1233"/>
      <c r="Y130" s="1233"/>
    </row>
    <row r="131" spans="1:25" s="1200" customFormat="1" ht="12.75" customHeight="1" x14ac:dyDescent="0.2">
      <c r="A131" s="1207" t="s">
        <v>1260</v>
      </c>
      <c r="B131" s="1208"/>
      <c r="C131" s="1207" t="s">
        <v>1260</v>
      </c>
      <c r="D131" s="1208"/>
      <c r="E131" s="1232"/>
      <c r="F131" s="1203"/>
      <c r="G131" s="1203"/>
      <c r="H131" s="1203"/>
      <c r="I131" s="707"/>
      <c r="J131" s="707"/>
      <c r="K131" s="707"/>
      <c r="L131" s="707"/>
      <c r="M131" s="707"/>
      <c r="N131" s="707"/>
      <c r="O131" s="707"/>
      <c r="P131" s="1204"/>
      <c r="Q131" s="1203"/>
      <c r="R131" s="1233"/>
      <c r="S131" s="1233"/>
      <c r="T131" s="1233"/>
      <c r="U131" s="1233"/>
      <c r="V131" s="1233"/>
      <c r="W131" s="1233"/>
      <c r="X131" s="1233"/>
      <c r="Y131" s="1233"/>
    </row>
    <row r="132" spans="1:25" s="1200" customFormat="1" ht="12.75" customHeight="1" x14ac:dyDescent="0.2">
      <c r="A132" s="1207" t="s">
        <v>1266</v>
      </c>
      <c r="B132" s="1208"/>
      <c r="C132" s="1207" t="s">
        <v>1266</v>
      </c>
      <c r="D132" s="1208"/>
      <c r="E132" s="1232"/>
      <c r="F132" s="1203"/>
      <c r="G132" s="1203"/>
      <c r="H132" s="1203"/>
      <c r="I132" s="707"/>
      <c r="J132" s="707"/>
      <c r="K132" s="707"/>
      <c r="L132" s="707"/>
      <c r="M132" s="707"/>
      <c r="N132" s="707"/>
      <c r="O132" s="707"/>
      <c r="P132" s="1204"/>
      <c r="Q132" s="1203"/>
      <c r="R132" s="1233"/>
      <c r="S132" s="1233"/>
      <c r="T132" s="1233"/>
      <c r="U132" s="1233"/>
      <c r="V132" s="1233"/>
      <c r="W132" s="1233"/>
      <c r="X132" s="1233"/>
      <c r="Y132" s="1233"/>
    </row>
    <row r="133" spans="1:25" s="1200" customFormat="1" ht="12.75" customHeight="1" x14ac:dyDescent="0.2">
      <c r="A133" s="1371" t="s">
        <v>1276</v>
      </c>
      <c r="B133" s="1372"/>
      <c r="C133" s="1387"/>
      <c r="D133" s="1388"/>
      <c r="E133" s="1232"/>
      <c r="F133" s="1203"/>
      <c r="G133" s="1203"/>
      <c r="H133" s="1203"/>
      <c r="I133" s="707"/>
      <c r="J133" s="707"/>
      <c r="K133" s="707"/>
      <c r="L133" s="707"/>
      <c r="M133" s="707"/>
      <c r="N133" s="707"/>
      <c r="O133" s="707"/>
      <c r="P133" s="1204"/>
      <c r="Q133" s="1203"/>
      <c r="R133" s="1233"/>
      <c r="S133" s="1233"/>
      <c r="T133" s="1233"/>
      <c r="U133" s="1233"/>
      <c r="V133" s="1233"/>
      <c r="W133" s="1233"/>
      <c r="X133" s="1233"/>
      <c r="Y133" s="1233"/>
    </row>
    <row r="134" spans="1:25" s="1200" customFormat="1" ht="12.75" customHeight="1" x14ac:dyDescent="0.2">
      <c r="A134" s="1207" t="s">
        <v>1493</v>
      </c>
      <c r="B134" s="1208"/>
      <c r="C134" s="1234"/>
      <c r="D134" s="1235"/>
      <c r="E134" s="1232"/>
      <c r="F134" s="1203"/>
      <c r="G134" s="1203"/>
      <c r="H134" s="1203"/>
      <c r="I134" s="707"/>
      <c r="J134" s="707"/>
      <c r="K134" s="707"/>
      <c r="L134" s="707"/>
      <c r="M134" s="707"/>
      <c r="N134" s="707"/>
      <c r="O134" s="707"/>
      <c r="P134" s="1204"/>
      <c r="Q134" s="1203"/>
      <c r="R134" s="1233"/>
      <c r="S134" s="1233"/>
      <c r="T134" s="1233"/>
      <c r="U134" s="1233"/>
      <c r="V134" s="1233"/>
      <c r="W134" s="1233"/>
      <c r="X134" s="1233"/>
      <c r="Y134" s="1233"/>
    </row>
    <row r="135" spans="1:25" s="1200" customFormat="1" ht="12.75" customHeight="1" x14ac:dyDescent="0.2">
      <c r="A135" s="1207" t="s">
        <v>1494</v>
      </c>
      <c r="B135" s="1208"/>
      <c r="C135" s="1234"/>
      <c r="D135" s="1235"/>
      <c r="E135" s="1232"/>
      <c r="F135" s="1203"/>
      <c r="G135" s="1203"/>
      <c r="H135" s="1203"/>
      <c r="I135" s="707"/>
      <c r="J135" s="707"/>
      <c r="K135" s="707"/>
      <c r="L135" s="707"/>
      <c r="M135" s="707"/>
      <c r="N135" s="707"/>
      <c r="O135" s="707"/>
      <c r="P135" s="1204"/>
      <c r="Q135" s="1203"/>
      <c r="R135" s="1233"/>
      <c r="S135" s="1233"/>
      <c r="T135" s="1233"/>
      <c r="U135" s="1233"/>
      <c r="V135" s="1233"/>
      <c r="W135" s="1233"/>
      <c r="X135" s="1233"/>
      <c r="Y135" s="1233"/>
    </row>
    <row r="136" spans="1:25" s="1200" customFormat="1" ht="12.75" customHeight="1" x14ac:dyDescent="0.2">
      <c r="A136" s="1207" t="s">
        <v>1264</v>
      </c>
      <c r="B136" s="1208"/>
      <c r="C136" s="1234"/>
      <c r="D136" s="1235"/>
      <c r="E136" s="1232"/>
      <c r="F136" s="1203"/>
      <c r="G136" s="1203"/>
      <c r="H136" s="1203"/>
      <c r="I136" s="707"/>
      <c r="J136" s="707"/>
      <c r="K136" s="707"/>
      <c r="L136" s="707"/>
      <c r="M136" s="707"/>
      <c r="N136" s="707"/>
      <c r="O136" s="707"/>
      <c r="P136" s="1204"/>
      <c r="Q136" s="1203"/>
      <c r="R136" s="1233"/>
      <c r="S136" s="1233"/>
      <c r="T136" s="1233"/>
      <c r="U136" s="1233"/>
      <c r="V136" s="1233"/>
      <c r="W136" s="1233"/>
      <c r="X136" s="1233"/>
      <c r="Y136" s="1233"/>
    </row>
    <row r="137" spans="1:25" s="1200" customFormat="1" ht="12.75" customHeight="1" x14ac:dyDescent="0.2">
      <c r="A137" s="1207" t="s">
        <v>1259</v>
      </c>
      <c r="B137" s="1208"/>
      <c r="C137" s="1234"/>
      <c r="D137" s="1235"/>
      <c r="E137" s="1232"/>
      <c r="F137" s="1203"/>
      <c r="G137" s="1203"/>
      <c r="H137" s="1203"/>
      <c r="I137" s="707"/>
      <c r="J137" s="707"/>
      <c r="K137" s="707"/>
      <c r="L137" s="707"/>
      <c r="M137" s="707"/>
      <c r="N137" s="707"/>
      <c r="O137" s="707"/>
      <c r="P137" s="1204"/>
      <c r="Q137" s="1203"/>
      <c r="R137" s="1233"/>
      <c r="S137" s="1233"/>
      <c r="T137" s="1233"/>
      <c r="U137" s="1233"/>
      <c r="V137" s="1233"/>
      <c r="W137" s="1233"/>
      <c r="X137" s="1233"/>
      <c r="Y137" s="1233"/>
    </row>
    <row r="138" spans="1:25" s="1200" customFormat="1" ht="12.75" customHeight="1" x14ac:dyDescent="0.2">
      <c r="A138" s="1207" t="s">
        <v>1265</v>
      </c>
      <c r="B138" s="1208"/>
      <c r="C138" s="1234"/>
      <c r="D138" s="1235"/>
      <c r="E138" s="1232"/>
      <c r="F138" s="1203"/>
      <c r="G138" s="1203"/>
      <c r="H138" s="1203"/>
      <c r="I138" s="707"/>
      <c r="J138" s="707"/>
      <c r="K138" s="707"/>
      <c r="L138" s="707"/>
      <c r="M138" s="707"/>
      <c r="N138" s="707"/>
      <c r="O138" s="707"/>
      <c r="P138" s="1204"/>
      <c r="Q138" s="1203"/>
      <c r="R138" s="1233"/>
      <c r="S138" s="1233"/>
      <c r="T138" s="1233"/>
      <c r="U138" s="1233"/>
      <c r="V138" s="1233"/>
      <c r="W138" s="1233"/>
      <c r="X138" s="1233"/>
      <c r="Y138" s="1233"/>
    </row>
    <row r="139" spans="1:25" s="1200" customFormat="1" ht="12.75" customHeight="1" x14ac:dyDescent="0.2">
      <c r="A139" s="1207" t="s">
        <v>1260</v>
      </c>
      <c r="B139" s="1208"/>
      <c r="C139" s="1234"/>
      <c r="D139" s="1235"/>
      <c r="E139" s="1232"/>
      <c r="F139" s="1203"/>
      <c r="G139" s="1203"/>
      <c r="H139" s="1203"/>
      <c r="I139" s="707"/>
      <c r="J139" s="707"/>
      <c r="K139" s="707"/>
      <c r="L139" s="707"/>
      <c r="M139" s="707"/>
      <c r="N139" s="707"/>
      <c r="O139" s="707"/>
      <c r="P139" s="1204"/>
      <c r="Q139" s="1203"/>
      <c r="R139" s="1233"/>
      <c r="S139" s="1233"/>
      <c r="T139" s="1233"/>
      <c r="U139" s="1233"/>
      <c r="V139" s="1233"/>
      <c r="W139" s="1233"/>
      <c r="X139" s="1233"/>
      <c r="Y139" s="1233"/>
    </row>
    <row r="140" spans="1:25" s="1200" customFormat="1" ht="12.75" customHeight="1" x14ac:dyDescent="0.2">
      <c r="A140" s="1207" t="s">
        <v>1266</v>
      </c>
      <c r="B140" s="1208"/>
      <c r="C140" s="1234"/>
      <c r="D140" s="1235"/>
      <c r="E140" s="1232"/>
      <c r="F140" s="1203"/>
      <c r="G140" s="1203"/>
      <c r="H140" s="1203"/>
      <c r="I140" s="707"/>
      <c r="J140" s="707"/>
      <c r="K140" s="707"/>
      <c r="L140" s="707"/>
      <c r="M140" s="707"/>
      <c r="N140" s="707"/>
      <c r="O140" s="707"/>
      <c r="P140" s="1204"/>
      <c r="Q140" s="1203"/>
      <c r="R140" s="1233"/>
      <c r="S140" s="1233"/>
      <c r="T140" s="1233"/>
      <c r="U140" s="1233"/>
      <c r="V140" s="1233"/>
      <c r="W140" s="1233"/>
      <c r="X140" s="1233"/>
      <c r="Y140" s="1233"/>
    </row>
    <row r="141" spans="1:25" s="254" customFormat="1" ht="12.75" customHeight="1" x14ac:dyDescent="0.2">
      <c r="C141" s="939"/>
      <c r="D141" s="939"/>
      <c r="E141" s="939"/>
      <c r="F141" s="981"/>
      <c r="G141" s="951"/>
      <c r="P141" s="952"/>
    </row>
    <row r="142" spans="1:25" s="254" customFormat="1" ht="12.75" customHeight="1" x14ac:dyDescent="0.2">
      <c r="E142" s="939"/>
      <c r="F142" s="981"/>
      <c r="G142" s="951"/>
      <c r="P142" s="952"/>
    </row>
    <row r="143" spans="1:25" s="254" customFormat="1" ht="12.75" customHeight="1" x14ac:dyDescent="0.25">
      <c r="A143" s="959"/>
      <c r="B143" s="285"/>
      <c r="C143" s="285"/>
      <c r="D143" s="285"/>
      <c r="E143" s="939"/>
      <c r="F143" s="981"/>
      <c r="G143" s="951"/>
      <c r="P143" s="952"/>
    </row>
    <row r="144" spans="1:25" s="254" customFormat="1" ht="12.75" customHeight="1" x14ac:dyDescent="0.2">
      <c r="E144" s="939"/>
      <c r="F144" s="981"/>
      <c r="G144" s="951"/>
      <c r="P144" s="952"/>
    </row>
    <row r="145" spans="1:25" s="285" customFormat="1" ht="12.75" customHeight="1" x14ac:dyDescent="0.25">
      <c r="A145" s="939"/>
      <c r="B145" s="939"/>
      <c r="C145" s="939"/>
      <c r="D145" s="939"/>
      <c r="E145" s="992"/>
      <c r="F145" s="981"/>
      <c r="G145" s="951"/>
      <c r="I145" s="254"/>
      <c r="J145" s="254"/>
      <c r="K145" s="254"/>
      <c r="L145" s="254"/>
      <c r="M145" s="254"/>
      <c r="N145" s="254"/>
      <c r="O145" s="254"/>
      <c r="P145" s="952"/>
      <c r="Q145" s="254"/>
    </row>
    <row r="146" spans="1:25" s="254" customFormat="1" ht="12.75" customHeight="1" x14ac:dyDescent="0.2">
      <c r="A146" s="939"/>
      <c r="B146" s="939"/>
      <c r="C146" s="939"/>
      <c r="D146" s="939"/>
      <c r="E146" s="939"/>
      <c r="F146" s="981"/>
      <c r="G146" s="951"/>
      <c r="P146" s="952"/>
    </row>
    <row r="147" spans="1:25" s="254" customFormat="1" ht="12.75" customHeight="1" x14ac:dyDescent="0.2">
      <c r="A147" s="939"/>
      <c r="B147" s="939"/>
      <c r="C147" s="939"/>
      <c r="D147" s="939"/>
      <c r="E147" s="939"/>
      <c r="F147" s="981"/>
      <c r="G147" s="951"/>
      <c r="P147" s="952"/>
    </row>
    <row r="148" spans="1:25" s="254" customFormat="1" ht="12.75" customHeight="1" x14ac:dyDescent="0.2">
      <c r="A148" s="993"/>
      <c r="B148" s="939"/>
      <c r="C148" s="939"/>
      <c r="D148" s="939"/>
      <c r="E148" s="939"/>
      <c r="P148" s="952"/>
    </row>
    <row r="149" spans="1:25" s="254" customFormat="1" ht="12.75" customHeight="1" x14ac:dyDescent="0.2">
      <c r="A149" s="994"/>
      <c r="B149" s="939"/>
      <c r="C149" s="939"/>
      <c r="D149" s="939"/>
      <c r="E149" s="939"/>
      <c r="P149" s="952"/>
    </row>
    <row r="150" spans="1:25" s="254" customFormat="1" ht="12.75" customHeight="1" x14ac:dyDescent="0.2">
      <c r="A150" s="994"/>
      <c r="B150" s="939"/>
      <c r="C150" s="939"/>
      <c r="D150" s="939"/>
      <c r="E150" s="939"/>
      <c r="P150" s="952"/>
    </row>
    <row r="151" spans="1:25" s="254" customFormat="1" ht="12.75" customHeight="1" x14ac:dyDescent="0.2">
      <c r="A151" s="994"/>
      <c r="B151" s="939"/>
      <c r="C151" s="939"/>
      <c r="D151" s="939"/>
      <c r="E151" s="939"/>
      <c r="P151" s="952"/>
    </row>
    <row r="152" spans="1:25" ht="12.75" customHeight="1" x14ac:dyDescent="0.2">
      <c r="A152" s="994"/>
      <c r="E152" s="995"/>
      <c r="P152" s="952"/>
      <c r="R152" s="996"/>
      <c r="S152" s="996"/>
      <c r="T152" s="996"/>
      <c r="U152" s="996"/>
      <c r="V152" s="996"/>
      <c r="W152" s="996"/>
      <c r="X152" s="996"/>
      <c r="Y152" s="996"/>
    </row>
    <row r="153" spans="1:25" ht="12.75" customHeight="1" x14ac:dyDescent="0.2">
      <c r="A153" s="997"/>
      <c r="B153" s="995"/>
      <c r="C153" s="995"/>
      <c r="D153" s="995"/>
      <c r="E153" s="995"/>
      <c r="P153" s="952"/>
      <c r="R153" s="996"/>
      <c r="S153" s="996"/>
      <c r="T153" s="996"/>
      <c r="U153" s="996"/>
      <c r="V153" s="996"/>
      <c r="W153" s="996"/>
      <c r="X153" s="996"/>
      <c r="Y153" s="996"/>
    </row>
    <row r="154" spans="1:25" ht="12.75" customHeight="1" x14ac:dyDescent="0.2">
      <c r="A154" s="997"/>
      <c r="B154" s="995"/>
      <c r="C154" s="995"/>
      <c r="D154" s="995"/>
      <c r="E154" s="995"/>
      <c r="P154" s="952"/>
      <c r="R154" s="996"/>
      <c r="S154" s="996"/>
      <c r="T154" s="996"/>
      <c r="U154" s="996"/>
      <c r="V154" s="996"/>
      <c r="W154" s="996"/>
      <c r="X154" s="996"/>
      <c r="Y154" s="996"/>
    </row>
    <row r="155" spans="1:25" ht="12.75" customHeight="1" x14ac:dyDescent="0.2">
      <c r="A155" s="997"/>
      <c r="B155" s="995"/>
      <c r="C155" s="995"/>
      <c r="D155" s="995"/>
      <c r="E155" s="995"/>
      <c r="P155" s="952"/>
      <c r="R155" s="996"/>
      <c r="S155" s="996"/>
      <c r="T155" s="996"/>
      <c r="U155" s="996"/>
      <c r="V155" s="996"/>
      <c r="W155" s="996"/>
      <c r="X155" s="996"/>
      <c r="Y155" s="996"/>
    </row>
    <row r="156" spans="1:25" ht="12.75" customHeight="1" x14ac:dyDescent="0.2">
      <c r="A156" s="997"/>
      <c r="B156" s="995"/>
      <c r="C156" s="995"/>
      <c r="D156" s="995"/>
      <c r="E156" s="995"/>
      <c r="P156" s="952"/>
      <c r="R156" s="996"/>
      <c r="S156" s="996"/>
      <c r="T156" s="996"/>
      <c r="U156" s="996"/>
      <c r="V156" s="996"/>
      <c r="W156" s="996"/>
      <c r="X156" s="996"/>
      <c r="Y156" s="996"/>
    </row>
    <row r="157" spans="1:25" ht="12.75" customHeight="1" x14ac:dyDescent="0.2">
      <c r="A157" s="997"/>
      <c r="B157" s="995"/>
      <c r="C157" s="995"/>
      <c r="D157" s="995"/>
      <c r="E157" s="995"/>
      <c r="P157" s="952"/>
      <c r="R157" s="996"/>
      <c r="S157" s="996"/>
      <c r="T157" s="996"/>
      <c r="U157" s="996"/>
      <c r="V157" s="996"/>
      <c r="W157" s="996"/>
      <c r="X157" s="996"/>
      <c r="Y157" s="996"/>
    </row>
    <row r="158" spans="1:25" ht="12.75" customHeight="1" x14ac:dyDescent="0.2">
      <c r="A158" s="997"/>
      <c r="B158" s="995"/>
      <c r="C158" s="995"/>
      <c r="D158" s="995"/>
      <c r="E158" s="995"/>
      <c r="P158" s="952"/>
      <c r="R158" s="996"/>
      <c r="S158" s="996"/>
      <c r="T158" s="996"/>
      <c r="U158" s="996"/>
      <c r="V158" s="996"/>
      <c r="W158" s="996"/>
      <c r="X158" s="996"/>
      <c r="Y158" s="996"/>
    </row>
    <row r="159" spans="1:25" ht="12.75" customHeight="1" x14ac:dyDescent="0.2">
      <c r="A159" s="997"/>
      <c r="B159" s="995"/>
      <c r="C159" s="995"/>
      <c r="D159" s="995"/>
      <c r="E159" s="995"/>
      <c r="P159" s="952"/>
      <c r="R159" s="996"/>
      <c r="S159" s="996"/>
      <c r="T159" s="996"/>
      <c r="U159" s="996"/>
      <c r="V159" s="996"/>
      <c r="W159" s="996"/>
      <c r="X159" s="996"/>
      <c r="Y159" s="996"/>
    </row>
    <row r="160" spans="1:25" ht="12.75" customHeight="1" x14ac:dyDescent="0.2">
      <c r="A160" s="997"/>
      <c r="B160" s="995"/>
      <c r="C160" s="995"/>
      <c r="D160" s="995"/>
      <c r="E160" s="995"/>
      <c r="P160" s="952"/>
      <c r="R160" s="996"/>
      <c r="S160" s="996"/>
      <c r="T160" s="996"/>
      <c r="U160" s="996"/>
      <c r="V160" s="996"/>
      <c r="W160" s="996"/>
      <c r="X160" s="996"/>
      <c r="Y160" s="996"/>
    </row>
    <row r="161" spans="1:25" ht="12.75" customHeight="1" x14ac:dyDescent="0.2">
      <c r="A161" s="997"/>
      <c r="B161" s="995"/>
      <c r="C161" s="995"/>
      <c r="D161" s="995"/>
      <c r="E161" s="995"/>
      <c r="P161" s="952"/>
      <c r="R161" s="996"/>
      <c r="S161" s="996"/>
      <c r="T161" s="996"/>
      <c r="U161" s="996"/>
      <c r="V161" s="996"/>
      <c r="W161" s="996"/>
      <c r="X161" s="996"/>
      <c r="Y161" s="996"/>
    </row>
    <row r="162" spans="1:25" ht="12.75" customHeight="1" x14ac:dyDescent="0.2">
      <c r="A162" s="997"/>
      <c r="B162" s="995"/>
      <c r="C162" s="995"/>
      <c r="D162" s="995"/>
      <c r="E162" s="995"/>
      <c r="P162" s="952"/>
      <c r="R162" s="996"/>
      <c r="S162" s="996"/>
      <c r="T162" s="996"/>
      <c r="U162" s="996"/>
      <c r="V162" s="996"/>
      <c r="W162" s="996"/>
      <c r="X162" s="996"/>
      <c r="Y162" s="996"/>
    </row>
    <row r="163" spans="1:25" ht="12.75" customHeight="1" x14ac:dyDescent="0.2">
      <c r="A163" s="997"/>
      <c r="B163" s="995"/>
      <c r="C163" s="995"/>
      <c r="D163" s="995"/>
      <c r="E163" s="995"/>
      <c r="P163" s="952"/>
      <c r="R163" s="996"/>
      <c r="S163" s="996"/>
      <c r="T163" s="996"/>
      <c r="U163" s="996"/>
      <c r="V163" s="996"/>
      <c r="W163" s="996"/>
      <c r="X163" s="996"/>
      <c r="Y163" s="996"/>
    </row>
    <row r="164" spans="1:25" ht="12.75" customHeight="1" x14ac:dyDescent="0.2">
      <c r="A164" s="997"/>
      <c r="B164" s="995"/>
      <c r="C164" s="995"/>
      <c r="D164" s="995"/>
      <c r="E164" s="995"/>
      <c r="P164" s="952"/>
      <c r="R164" s="996"/>
      <c r="S164" s="996"/>
      <c r="T164" s="996"/>
      <c r="U164" s="996"/>
      <c r="V164" s="996"/>
      <c r="W164" s="996"/>
      <c r="X164" s="996"/>
      <c r="Y164" s="996"/>
    </row>
    <row r="165" spans="1:25" ht="12.75" customHeight="1" x14ac:dyDescent="0.2">
      <c r="A165" s="997"/>
      <c r="B165" s="995"/>
      <c r="C165" s="995"/>
      <c r="D165" s="995"/>
      <c r="E165" s="995"/>
      <c r="P165" s="952"/>
      <c r="R165" s="996"/>
      <c r="S165" s="996"/>
      <c r="T165" s="996"/>
      <c r="U165" s="996"/>
      <c r="V165" s="996"/>
      <c r="W165" s="996"/>
      <c r="X165" s="996"/>
      <c r="Y165" s="996"/>
    </row>
    <row r="166" spans="1:25" ht="12.75" customHeight="1" x14ac:dyDescent="0.2">
      <c r="A166" s="997"/>
      <c r="B166" s="995"/>
      <c r="C166" s="995"/>
      <c r="D166" s="995"/>
      <c r="E166" s="995"/>
      <c r="P166" s="952"/>
      <c r="R166" s="996"/>
      <c r="S166" s="996"/>
      <c r="T166" s="996"/>
      <c r="U166" s="996"/>
      <c r="V166" s="996"/>
      <c r="W166" s="996"/>
      <c r="X166" s="996"/>
      <c r="Y166" s="996"/>
    </row>
    <row r="167" spans="1:25" ht="12.75" customHeight="1" x14ac:dyDescent="0.2">
      <c r="A167" s="997"/>
      <c r="B167" s="995"/>
      <c r="C167" s="995"/>
      <c r="D167" s="995"/>
      <c r="E167" s="995"/>
      <c r="P167" s="952"/>
      <c r="R167" s="996"/>
      <c r="S167" s="996"/>
      <c r="T167" s="996"/>
      <c r="U167" s="996"/>
      <c r="V167" s="996"/>
      <c r="W167" s="996"/>
      <c r="X167" s="996"/>
      <c r="Y167" s="996"/>
    </row>
    <row r="168" spans="1:25" ht="12.75" customHeight="1" x14ac:dyDescent="0.2">
      <c r="A168" s="997"/>
      <c r="B168" s="995"/>
      <c r="C168" s="995"/>
      <c r="D168" s="995"/>
      <c r="E168" s="995"/>
      <c r="P168" s="952"/>
      <c r="R168" s="996"/>
      <c r="S168" s="996"/>
      <c r="T168" s="996"/>
      <c r="U168" s="996"/>
      <c r="V168" s="996"/>
      <c r="W168" s="996"/>
      <c r="X168" s="996"/>
      <c r="Y168" s="996"/>
    </row>
    <row r="169" spans="1:25" ht="12.75" customHeight="1" x14ac:dyDescent="0.2">
      <c r="A169" s="997"/>
      <c r="B169" s="995"/>
      <c r="C169" s="995"/>
      <c r="D169" s="995"/>
      <c r="E169" s="995"/>
      <c r="P169" s="952"/>
      <c r="R169" s="996"/>
      <c r="S169" s="996"/>
      <c r="T169" s="996"/>
      <c r="U169" s="996"/>
      <c r="V169" s="996"/>
      <c r="W169" s="996"/>
      <c r="X169" s="996"/>
      <c r="Y169" s="996"/>
    </row>
    <row r="170" spans="1:25" ht="12.75" customHeight="1" x14ac:dyDescent="0.2">
      <c r="A170" s="997"/>
      <c r="B170" s="995"/>
      <c r="C170" s="995"/>
      <c r="D170" s="995"/>
      <c r="E170" s="995"/>
      <c r="P170" s="952"/>
      <c r="R170" s="996"/>
      <c r="S170" s="996"/>
      <c r="T170" s="996"/>
      <c r="U170" s="996"/>
      <c r="V170" s="996"/>
      <c r="W170" s="996"/>
      <c r="X170" s="996"/>
      <c r="Y170" s="996"/>
    </row>
    <row r="171" spans="1:25" ht="12.75" customHeight="1" x14ac:dyDescent="0.2">
      <c r="A171" s="997"/>
      <c r="B171" s="995"/>
      <c r="C171" s="995"/>
      <c r="D171" s="995"/>
      <c r="E171" s="995"/>
      <c r="P171" s="952"/>
      <c r="R171" s="996"/>
      <c r="S171" s="996"/>
      <c r="T171" s="996"/>
      <c r="U171" s="996"/>
      <c r="V171" s="996"/>
      <c r="W171" s="996"/>
      <c r="X171" s="996"/>
      <c r="Y171" s="996"/>
    </row>
    <row r="172" spans="1:25" ht="12.75" customHeight="1" x14ac:dyDescent="0.2">
      <c r="A172" s="997"/>
      <c r="B172" s="995"/>
      <c r="C172" s="995"/>
      <c r="D172" s="995"/>
      <c r="E172" s="995"/>
      <c r="P172" s="952"/>
      <c r="R172" s="996"/>
      <c r="S172" s="996"/>
      <c r="T172" s="996"/>
      <c r="U172" s="996"/>
      <c r="V172" s="996"/>
      <c r="W172" s="996"/>
      <c r="X172" s="996"/>
      <c r="Y172" s="996"/>
    </row>
    <row r="173" spans="1:25" ht="12.75" customHeight="1" x14ac:dyDescent="0.2">
      <c r="A173" s="997"/>
      <c r="B173" s="995"/>
      <c r="C173" s="995"/>
      <c r="D173" s="995"/>
      <c r="E173" s="995"/>
      <c r="P173" s="952"/>
      <c r="R173" s="996"/>
      <c r="S173" s="996"/>
      <c r="T173" s="996"/>
      <c r="U173" s="996"/>
      <c r="V173" s="996"/>
      <c r="W173" s="996"/>
      <c r="X173" s="996"/>
      <c r="Y173" s="996"/>
    </row>
    <row r="174" spans="1:25" ht="12.75" customHeight="1" x14ac:dyDescent="0.2">
      <c r="A174" s="997"/>
      <c r="B174" s="995"/>
      <c r="C174" s="995"/>
      <c r="D174" s="995"/>
      <c r="E174" s="995"/>
      <c r="P174" s="952"/>
      <c r="R174" s="996"/>
      <c r="S174" s="996"/>
      <c r="T174" s="996"/>
      <c r="U174" s="996"/>
      <c r="V174" s="996"/>
      <c r="W174" s="996"/>
      <c r="X174" s="996"/>
      <c r="Y174" s="996"/>
    </row>
    <row r="175" spans="1:25" ht="12.75" customHeight="1" x14ac:dyDescent="0.2">
      <c r="A175" s="995"/>
      <c r="B175" s="995"/>
      <c r="C175" s="995"/>
      <c r="D175" s="995"/>
      <c r="E175" s="995"/>
      <c r="P175" s="952"/>
      <c r="R175" s="996"/>
      <c r="S175" s="996"/>
      <c r="T175" s="996"/>
      <c r="U175" s="996"/>
      <c r="V175" s="996"/>
      <c r="W175" s="996"/>
      <c r="X175" s="996"/>
      <c r="Y175" s="996"/>
    </row>
    <row r="176" spans="1:25" ht="12.75" customHeight="1" x14ac:dyDescent="0.2">
      <c r="A176" s="995"/>
      <c r="B176" s="995"/>
      <c r="C176" s="995"/>
      <c r="D176" s="995"/>
      <c r="E176" s="995"/>
      <c r="P176" s="952"/>
      <c r="R176" s="996"/>
      <c r="S176" s="996"/>
      <c r="T176" s="996"/>
      <c r="U176" s="996"/>
      <c r="V176" s="996"/>
      <c r="W176" s="996"/>
      <c r="X176" s="996"/>
      <c r="Y176" s="996"/>
    </row>
    <row r="177" spans="1:25" ht="12.75" customHeight="1" x14ac:dyDescent="0.2">
      <c r="A177" s="995"/>
      <c r="B177" s="995"/>
      <c r="C177" s="995"/>
      <c r="D177" s="995"/>
      <c r="E177" s="995"/>
      <c r="P177" s="952"/>
      <c r="R177" s="996"/>
      <c r="S177" s="996"/>
      <c r="T177" s="996"/>
      <c r="U177" s="996"/>
      <c r="V177" s="996"/>
      <c r="W177" s="996"/>
      <c r="X177" s="996"/>
      <c r="Y177" s="996"/>
    </row>
    <row r="178" spans="1:25" ht="12.75" customHeight="1" x14ac:dyDescent="0.2">
      <c r="A178" s="995"/>
      <c r="B178" s="995"/>
      <c r="C178" s="995"/>
      <c r="D178" s="995"/>
      <c r="E178" s="995"/>
      <c r="P178" s="952"/>
      <c r="R178" s="996"/>
      <c r="S178" s="996"/>
      <c r="T178" s="996"/>
      <c r="U178" s="996"/>
      <c r="V178" s="996"/>
      <c r="W178" s="996"/>
      <c r="X178" s="996"/>
      <c r="Y178" s="996"/>
    </row>
    <row r="179" spans="1:25" ht="12.75" customHeight="1" x14ac:dyDescent="0.2">
      <c r="A179" s="995"/>
      <c r="B179" s="995"/>
      <c r="C179" s="995"/>
      <c r="D179" s="995"/>
      <c r="E179" s="995"/>
      <c r="P179" s="952"/>
      <c r="R179" s="996"/>
      <c r="S179" s="996"/>
      <c r="T179" s="996"/>
      <c r="U179" s="996"/>
      <c r="V179" s="996"/>
      <c r="W179" s="996"/>
      <c r="X179" s="996"/>
      <c r="Y179" s="996"/>
    </row>
    <row r="180" spans="1:25" ht="12.75" customHeight="1" x14ac:dyDescent="0.2">
      <c r="A180" s="995"/>
      <c r="B180" s="995"/>
      <c r="C180" s="995"/>
      <c r="D180" s="995"/>
      <c r="E180" s="995"/>
      <c r="P180" s="952"/>
      <c r="R180" s="996"/>
      <c r="S180" s="996"/>
      <c r="T180" s="996"/>
      <c r="U180" s="996"/>
      <c r="V180" s="996"/>
      <c r="W180" s="996"/>
      <c r="X180" s="996"/>
      <c r="Y180" s="996"/>
    </row>
    <row r="181" spans="1:25" ht="12.75" customHeight="1" x14ac:dyDescent="0.2">
      <c r="A181" s="995"/>
      <c r="B181" s="995"/>
      <c r="C181" s="995"/>
      <c r="D181" s="995"/>
      <c r="E181" s="995"/>
      <c r="P181" s="952"/>
      <c r="R181" s="996"/>
      <c r="S181" s="996"/>
      <c r="T181" s="996"/>
      <c r="U181" s="996"/>
      <c r="V181" s="996"/>
      <c r="W181" s="996"/>
      <c r="X181" s="996"/>
      <c r="Y181" s="996"/>
    </row>
    <row r="182" spans="1:25" ht="12.75" customHeight="1" x14ac:dyDescent="0.2">
      <c r="A182" s="995"/>
      <c r="B182" s="995"/>
      <c r="C182" s="995"/>
      <c r="D182" s="995"/>
      <c r="E182" s="995"/>
      <c r="P182" s="952"/>
      <c r="R182" s="996"/>
      <c r="S182" s="996"/>
      <c r="T182" s="996"/>
      <c r="U182" s="996"/>
      <c r="V182" s="996"/>
      <c r="W182" s="996"/>
      <c r="X182" s="996"/>
      <c r="Y182" s="996"/>
    </row>
    <row r="183" spans="1:25" ht="12.75" customHeight="1" x14ac:dyDescent="0.2">
      <c r="A183" s="995"/>
      <c r="B183" s="995"/>
      <c r="C183" s="995"/>
      <c r="D183" s="995"/>
      <c r="E183" s="995"/>
      <c r="P183" s="952"/>
      <c r="R183" s="996"/>
      <c r="S183" s="996"/>
      <c r="T183" s="996"/>
      <c r="U183" s="996"/>
      <c r="V183" s="996"/>
      <c r="W183" s="996"/>
      <c r="X183" s="996"/>
      <c r="Y183" s="996"/>
    </row>
    <row r="184" spans="1:25" x14ac:dyDescent="0.2">
      <c r="A184" s="995"/>
      <c r="B184" s="995"/>
      <c r="C184" s="995"/>
      <c r="D184" s="995"/>
      <c r="E184" s="995"/>
      <c r="P184" s="952"/>
      <c r="R184" s="996"/>
      <c r="S184" s="996"/>
      <c r="T184" s="996"/>
      <c r="U184" s="996"/>
      <c r="V184" s="996"/>
      <c r="W184" s="996"/>
      <c r="X184" s="996"/>
      <c r="Y184" s="996"/>
    </row>
    <row r="185" spans="1:25" x14ac:dyDescent="0.2">
      <c r="A185" s="995"/>
      <c r="B185" s="995"/>
      <c r="C185" s="995"/>
      <c r="D185" s="995"/>
      <c r="E185" s="995"/>
      <c r="P185" s="952"/>
      <c r="R185" s="996"/>
      <c r="S185" s="996"/>
      <c r="T185" s="996"/>
      <c r="U185" s="996"/>
      <c r="V185" s="996"/>
      <c r="W185" s="996"/>
      <c r="X185" s="996"/>
      <c r="Y185" s="996"/>
    </row>
    <row r="186" spans="1:25" x14ac:dyDescent="0.2">
      <c r="A186" s="995"/>
      <c r="B186" s="995"/>
      <c r="C186" s="995"/>
      <c r="D186" s="995"/>
      <c r="E186" s="995"/>
      <c r="P186" s="952"/>
      <c r="R186" s="996"/>
      <c r="S186" s="996"/>
      <c r="T186" s="996"/>
      <c r="U186" s="996"/>
      <c r="V186" s="996"/>
      <c r="W186" s="996"/>
      <c r="X186" s="996"/>
      <c r="Y186" s="996"/>
    </row>
    <row r="187" spans="1:25" x14ac:dyDescent="0.2">
      <c r="A187" s="995"/>
      <c r="B187" s="995"/>
      <c r="C187" s="995"/>
      <c r="D187" s="995"/>
      <c r="E187" s="995"/>
      <c r="P187" s="952"/>
      <c r="R187" s="996"/>
      <c r="S187" s="996"/>
      <c r="T187" s="996"/>
      <c r="U187" s="996"/>
      <c r="V187" s="996"/>
      <c r="W187" s="996"/>
      <c r="X187" s="996"/>
      <c r="Y187" s="996"/>
    </row>
    <row r="188" spans="1:25" x14ac:dyDescent="0.2">
      <c r="A188" s="995"/>
      <c r="B188" s="995"/>
      <c r="C188" s="995"/>
      <c r="D188" s="995"/>
      <c r="E188" s="995"/>
      <c r="P188" s="952"/>
      <c r="R188" s="996"/>
      <c r="S188" s="996"/>
      <c r="T188" s="996"/>
      <c r="U188" s="996"/>
      <c r="V188" s="996"/>
      <c r="W188" s="996"/>
      <c r="X188" s="996"/>
      <c r="Y188" s="996"/>
    </row>
    <row r="189" spans="1:25" x14ac:dyDescent="0.2">
      <c r="A189" s="995"/>
      <c r="B189" s="995"/>
      <c r="C189" s="995"/>
      <c r="D189" s="995"/>
      <c r="E189" s="995"/>
      <c r="P189" s="952"/>
      <c r="R189" s="996"/>
      <c r="S189" s="996"/>
      <c r="T189" s="996"/>
      <c r="U189" s="996"/>
      <c r="V189" s="996"/>
      <c r="W189" s="996"/>
      <c r="X189" s="996"/>
      <c r="Y189" s="996"/>
    </row>
    <row r="190" spans="1:25" x14ac:dyDescent="0.2">
      <c r="A190" s="995"/>
      <c r="B190" s="995"/>
      <c r="C190" s="995"/>
      <c r="D190" s="995"/>
      <c r="E190" s="995"/>
      <c r="P190" s="952"/>
      <c r="R190" s="996"/>
      <c r="S190" s="996"/>
      <c r="T190" s="996"/>
      <c r="U190" s="996"/>
      <c r="V190" s="996"/>
      <c r="W190" s="996"/>
      <c r="X190" s="996"/>
      <c r="Y190" s="996"/>
    </row>
    <row r="191" spans="1:25" x14ac:dyDescent="0.2">
      <c r="A191" s="995"/>
      <c r="B191" s="995"/>
      <c r="C191" s="995"/>
      <c r="D191" s="995"/>
      <c r="E191" s="995"/>
      <c r="P191" s="952"/>
      <c r="R191" s="996"/>
      <c r="S191" s="996"/>
      <c r="T191" s="996"/>
      <c r="U191" s="996"/>
      <c r="V191" s="996"/>
      <c r="W191" s="996"/>
      <c r="X191" s="996"/>
      <c r="Y191" s="996"/>
    </row>
    <row r="192" spans="1:25" x14ac:dyDescent="0.2">
      <c r="A192" s="995"/>
      <c r="B192" s="995"/>
      <c r="C192" s="995"/>
      <c r="D192" s="995"/>
      <c r="E192" s="995"/>
      <c r="P192" s="952"/>
      <c r="R192" s="996"/>
      <c r="S192" s="996"/>
      <c r="T192" s="996"/>
      <c r="U192" s="996"/>
      <c r="V192" s="996"/>
      <c r="W192" s="996"/>
      <c r="X192" s="996"/>
      <c r="Y192" s="996"/>
    </row>
    <row r="193" spans="1:25" x14ac:dyDescent="0.2">
      <c r="A193" s="995"/>
      <c r="B193" s="995"/>
      <c r="C193" s="995"/>
      <c r="D193" s="995"/>
      <c r="E193" s="995"/>
      <c r="P193" s="952"/>
      <c r="R193" s="996"/>
      <c r="S193" s="996"/>
      <c r="T193" s="996"/>
      <c r="U193" s="996"/>
      <c r="V193" s="996"/>
      <c r="W193" s="996"/>
      <c r="X193" s="996"/>
      <c r="Y193" s="996"/>
    </row>
    <row r="194" spans="1:25" x14ac:dyDescent="0.2">
      <c r="A194" s="995"/>
      <c r="B194" s="995"/>
      <c r="C194" s="995"/>
      <c r="D194" s="995"/>
      <c r="E194" s="995"/>
      <c r="P194" s="952"/>
      <c r="R194" s="996"/>
      <c r="S194" s="996"/>
      <c r="T194" s="996"/>
      <c r="U194" s="996"/>
      <c r="V194" s="996"/>
      <c r="W194" s="996"/>
      <c r="X194" s="996"/>
      <c r="Y194" s="996"/>
    </row>
    <row r="195" spans="1:25" x14ac:dyDescent="0.2">
      <c r="A195" s="995"/>
      <c r="B195" s="995"/>
      <c r="C195" s="995"/>
      <c r="D195" s="995"/>
      <c r="E195" s="995"/>
      <c r="P195" s="952"/>
      <c r="R195" s="996"/>
      <c r="S195" s="996"/>
      <c r="T195" s="996"/>
      <c r="U195" s="996"/>
      <c r="V195" s="996"/>
      <c r="W195" s="996"/>
      <c r="X195" s="996"/>
      <c r="Y195" s="996"/>
    </row>
    <row r="196" spans="1:25" x14ac:dyDescent="0.2">
      <c r="A196" s="995"/>
      <c r="B196" s="995"/>
      <c r="C196" s="995"/>
      <c r="D196" s="995"/>
      <c r="E196" s="995"/>
      <c r="P196" s="952"/>
      <c r="R196" s="996"/>
      <c r="S196" s="996"/>
      <c r="T196" s="996"/>
      <c r="U196" s="996"/>
      <c r="V196" s="996"/>
      <c r="W196" s="996"/>
      <c r="X196" s="996"/>
      <c r="Y196" s="996"/>
    </row>
    <row r="197" spans="1:25" x14ac:dyDescent="0.2">
      <c r="A197" s="995"/>
      <c r="B197" s="995"/>
      <c r="C197" s="995"/>
      <c r="D197" s="995"/>
      <c r="E197" s="995"/>
      <c r="P197" s="952"/>
      <c r="R197" s="996"/>
      <c r="S197" s="996"/>
      <c r="T197" s="996"/>
      <c r="U197" s="996"/>
      <c r="V197" s="996"/>
      <c r="W197" s="996"/>
      <c r="X197" s="996"/>
      <c r="Y197" s="996"/>
    </row>
    <row r="198" spans="1:25" x14ac:dyDescent="0.2">
      <c r="A198" s="995"/>
      <c r="B198" s="995"/>
      <c r="C198" s="995"/>
      <c r="D198" s="995"/>
      <c r="E198" s="995"/>
      <c r="P198" s="952"/>
      <c r="R198" s="996"/>
      <c r="S198" s="996"/>
      <c r="T198" s="996"/>
      <c r="U198" s="996"/>
      <c r="V198" s="996"/>
      <c r="W198" s="996"/>
      <c r="X198" s="996"/>
      <c r="Y198" s="996"/>
    </row>
    <row r="199" spans="1:25" x14ac:dyDescent="0.2">
      <c r="A199" s="995"/>
      <c r="B199" s="995"/>
      <c r="C199" s="995"/>
      <c r="D199" s="995"/>
      <c r="E199" s="995"/>
      <c r="P199" s="952"/>
      <c r="R199" s="996"/>
      <c r="S199" s="996"/>
      <c r="T199" s="996"/>
      <c r="U199" s="996"/>
      <c r="V199" s="996"/>
      <c r="W199" s="996"/>
      <c r="X199" s="996"/>
      <c r="Y199" s="996"/>
    </row>
    <row r="200" spans="1:25" x14ac:dyDescent="0.2">
      <c r="A200" s="995"/>
      <c r="B200" s="995"/>
      <c r="C200" s="995"/>
      <c r="D200" s="995"/>
      <c r="E200" s="995"/>
      <c r="P200" s="952"/>
      <c r="R200" s="996"/>
      <c r="S200" s="996"/>
      <c r="T200" s="996"/>
      <c r="U200" s="996"/>
      <c r="V200" s="996"/>
      <c r="W200" s="996"/>
      <c r="X200" s="996"/>
      <c r="Y200" s="996"/>
    </row>
    <row r="201" spans="1:25" x14ac:dyDescent="0.2">
      <c r="A201" s="995"/>
      <c r="B201" s="995"/>
      <c r="C201" s="995"/>
      <c r="D201" s="995"/>
      <c r="E201" s="995"/>
      <c r="P201" s="952"/>
      <c r="R201" s="996"/>
      <c r="S201" s="996"/>
      <c r="T201" s="996"/>
      <c r="U201" s="996"/>
      <c r="V201" s="996"/>
      <c r="W201" s="996"/>
      <c r="X201" s="996"/>
      <c r="Y201" s="996"/>
    </row>
    <row r="202" spans="1:25" x14ac:dyDescent="0.2">
      <c r="A202" s="995"/>
      <c r="B202" s="995"/>
      <c r="C202" s="995"/>
      <c r="D202" s="995"/>
      <c r="E202" s="995"/>
      <c r="P202" s="952"/>
      <c r="R202" s="996"/>
      <c r="S202" s="996"/>
      <c r="T202" s="996"/>
      <c r="U202" s="996"/>
      <c r="V202" s="996"/>
      <c r="W202" s="996"/>
      <c r="X202" s="996"/>
      <c r="Y202" s="996"/>
    </row>
    <row r="203" spans="1:25" x14ac:dyDescent="0.2">
      <c r="A203" s="995"/>
      <c r="B203" s="995"/>
      <c r="C203" s="995"/>
      <c r="D203" s="995"/>
      <c r="E203" s="995"/>
      <c r="P203" s="952"/>
      <c r="R203" s="996"/>
      <c r="S203" s="996"/>
      <c r="T203" s="996"/>
      <c r="U203" s="996"/>
      <c r="V203" s="996"/>
      <c r="W203" s="996"/>
      <c r="X203" s="996"/>
      <c r="Y203" s="996"/>
    </row>
    <row r="204" spans="1:25" x14ac:dyDescent="0.2">
      <c r="A204" s="995"/>
      <c r="B204" s="995"/>
      <c r="C204" s="995"/>
      <c r="D204" s="995"/>
      <c r="E204" s="995"/>
      <c r="P204" s="952"/>
      <c r="R204" s="996"/>
      <c r="S204" s="996"/>
      <c r="T204" s="996"/>
      <c r="U204" s="996"/>
      <c r="V204" s="996"/>
      <c r="W204" s="996"/>
      <c r="X204" s="996"/>
      <c r="Y204" s="996"/>
    </row>
    <row r="205" spans="1:25" x14ac:dyDescent="0.2">
      <c r="A205" s="995"/>
      <c r="B205" s="995"/>
      <c r="C205" s="995"/>
      <c r="D205" s="995"/>
      <c r="E205" s="995"/>
      <c r="P205" s="952"/>
      <c r="R205" s="996"/>
      <c r="S205" s="996"/>
      <c r="T205" s="996"/>
      <c r="U205" s="996"/>
      <c r="V205" s="996"/>
      <c r="W205" s="996"/>
      <c r="X205" s="996"/>
      <c r="Y205" s="996"/>
    </row>
    <row r="206" spans="1:25" x14ac:dyDescent="0.2">
      <c r="A206" s="995"/>
      <c r="B206" s="995"/>
      <c r="C206" s="995"/>
      <c r="D206" s="995"/>
      <c r="E206" s="995"/>
      <c r="P206" s="952"/>
      <c r="R206" s="996"/>
      <c r="S206" s="996"/>
      <c r="T206" s="996"/>
      <c r="U206" s="996"/>
      <c r="V206" s="996"/>
      <c r="W206" s="996"/>
      <c r="X206" s="996"/>
      <c r="Y206" s="996"/>
    </row>
    <row r="207" spans="1:25" x14ac:dyDescent="0.2">
      <c r="A207" s="995"/>
      <c r="B207" s="995"/>
      <c r="C207" s="995"/>
      <c r="D207" s="995"/>
      <c r="E207" s="995"/>
      <c r="P207" s="952"/>
      <c r="R207" s="996"/>
      <c r="S207" s="996"/>
      <c r="T207" s="996"/>
      <c r="U207" s="996"/>
      <c r="V207" s="996"/>
      <c r="W207" s="996"/>
      <c r="X207" s="996"/>
      <c r="Y207" s="996"/>
    </row>
    <row r="208" spans="1:25" x14ac:dyDescent="0.2">
      <c r="A208" s="995"/>
      <c r="B208" s="995"/>
      <c r="C208" s="995"/>
      <c r="D208" s="995"/>
      <c r="E208" s="995"/>
      <c r="P208" s="952"/>
      <c r="R208" s="996"/>
      <c r="S208" s="996"/>
      <c r="T208" s="996"/>
      <c r="U208" s="996"/>
      <c r="V208" s="996"/>
      <c r="W208" s="996"/>
      <c r="X208" s="996"/>
      <c r="Y208" s="996"/>
    </row>
    <row r="209" spans="1:25" x14ac:dyDescent="0.2">
      <c r="A209" s="995"/>
      <c r="B209" s="995"/>
      <c r="C209" s="995"/>
      <c r="D209" s="995"/>
      <c r="E209" s="995"/>
      <c r="P209" s="952"/>
      <c r="R209" s="996"/>
      <c r="S209" s="996"/>
      <c r="T209" s="996"/>
      <c r="U209" s="996"/>
      <c r="V209" s="996"/>
      <c r="W209" s="996"/>
      <c r="X209" s="996"/>
      <c r="Y209" s="996"/>
    </row>
    <row r="210" spans="1:25" x14ac:dyDescent="0.2">
      <c r="A210" s="995"/>
      <c r="B210" s="995"/>
      <c r="C210" s="995"/>
      <c r="D210" s="995"/>
      <c r="E210" s="995"/>
      <c r="P210" s="952"/>
      <c r="R210" s="996"/>
      <c r="S210" s="996"/>
      <c r="T210" s="996"/>
      <c r="U210" s="996"/>
      <c r="V210" s="996"/>
      <c r="W210" s="996"/>
      <c r="X210" s="996"/>
      <c r="Y210" s="996"/>
    </row>
    <row r="211" spans="1:25" x14ac:dyDescent="0.2">
      <c r="A211" s="995"/>
      <c r="B211" s="995"/>
      <c r="C211" s="995"/>
      <c r="D211" s="995"/>
      <c r="E211" s="995"/>
      <c r="P211" s="952"/>
      <c r="R211" s="996"/>
      <c r="S211" s="996"/>
      <c r="T211" s="996"/>
      <c r="U211" s="996"/>
      <c r="V211" s="996"/>
      <c r="W211" s="996"/>
      <c r="X211" s="996"/>
      <c r="Y211" s="996"/>
    </row>
    <row r="212" spans="1:25" x14ac:dyDescent="0.2">
      <c r="A212" s="995"/>
      <c r="B212" s="995"/>
      <c r="C212" s="995"/>
      <c r="D212" s="995"/>
      <c r="E212" s="995"/>
      <c r="P212" s="952"/>
      <c r="R212" s="996"/>
      <c r="S212" s="996"/>
      <c r="T212" s="996"/>
      <c r="U212" s="996"/>
      <c r="V212" s="996"/>
      <c r="W212" s="996"/>
      <c r="X212" s="996"/>
      <c r="Y212" s="996"/>
    </row>
    <row r="213" spans="1:25" x14ac:dyDescent="0.2">
      <c r="A213" s="995"/>
      <c r="B213" s="995"/>
      <c r="C213" s="995"/>
      <c r="D213" s="995"/>
      <c r="E213" s="995"/>
      <c r="P213" s="952"/>
      <c r="R213" s="996"/>
      <c r="S213" s="996"/>
      <c r="T213" s="996"/>
      <c r="U213" s="996"/>
      <c r="V213" s="996"/>
      <c r="W213" s="996"/>
      <c r="X213" s="996"/>
      <c r="Y213" s="996"/>
    </row>
    <row r="214" spans="1:25" x14ac:dyDescent="0.2">
      <c r="A214" s="995"/>
      <c r="B214" s="995"/>
      <c r="C214" s="995"/>
      <c r="D214" s="995"/>
      <c r="E214" s="995"/>
      <c r="P214" s="952"/>
      <c r="R214" s="996"/>
      <c r="S214" s="996"/>
      <c r="T214" s="996"/>
      <c r="U214" s="996"/>
      <c r="V214" s="996"/>
      <c r="W214" s="996"/>
      <c r="X214" s="996"/>
      <c r="Y214" s="996"/>
    </row>
    <row r="215" spans="1:25" x14ac:dyDescent="0.2">
      <c r="A215" s="995"/>
      <c r="B215" s="995"/>
      <c r="C215" s="995"/>
      <c r="D215" s="995"/>
      <c r="E215" s="995"/>
      <c r="P215" s="952"/>
      <c r="R215" s="996"/>
      <c r="S215" s="996"/>
      <c r="T215" s="996"/>
      <c r="U215" s="996"/>
      <c r="V215" s="996"/>
      <c r="W215" s="996"/>
      <c r="X215" s="996"/>
      <c r="Y215" s="996"/>
    </row>
    <row r="216" spans="1:25" x14ac:dyDescent="0.2">
      <c r="A216" s="995"/>
      <c r="B216" s="995"/>
      <c r="C216" s="995"/>
      <c r="D216" s="995"/>
      <c r="E216" s="995"/>
      <c r="P216" s="952"/>
      <c r="R216" s="996"/>
      <c r="S216" s="996"/>
      <c r="T216" s="996"/>
      <c r="U216" s="996"/>
      <c r="V216" s="996"/>
      <c r="W216" s="996"/>
      <c r="X216" s="996"/>
      <c r="Y216" s="996"/>
    </row>
    <row r="217" spans="1:25" x14ac:dyDescent="0.2">
      <c r="A217" s="995"/>
      <c r="B217" s="995"/>
      <c r="C217" s="995"/>
      <c r="D217" s="995"/>
      <c r="E217" s="995"/>
      <c r="P217" s="952"/>
      <c r="R217" s="996"/>
      <c r="S217" s="996"/>
      <c r="T217" s="996"/>
      <c r="U217" s="996"/>
      <c r="V217" s="996"/>
      <c r="W217" s="996"/>
      <c r="X217" s="996"/>
      <c r="Y217" s="996"/>
    </row>
    <row r="218" spans="1:25" x14ac:dyDescent="0.2">
      <c r="A218" s="995"/>
      <c r="B218" s="995"/>
      <c r="C218" s="995"/>
      <c r="D218" s="995"/>
      <c r="E218" s="995"/>
      <c r="P218" s="952"/>
      <c r="R218" s="996"/>
      <c r="S218" s="996"/>
      <c r="T218" s="996"/>
      <c r="U218" s="996"/>
      <c r="V218" s="996"/>
      <c r="W218" s="996"/>
      <c r="X218" s="996"/>
      <c r="Y218" s="996"/>
    </row>
    <row r="219" spans="1:25" x14ac:dyDescent="0.2">
      <c r="A219" s="995"/>
      <c r="B219" s="995"/>
      <c r="C219" s="995"/>
      <c r="D219" s="995"/>
      <c r="E219" s="995"/>
      <c r="P219" s="952"/>
      <c r="R219" s="996"/>
      <c r="S219" s="996"/>
      <c r="T219" s="996"/>
      <c r="U219" s="996"/>
      <c r="V219" s="996"/>
      <c r="W219" s="996"/>
      <c r="X219" s="996"/>
      <c r="Y219" s="996"/>
    </row>
    <row r="220" spans="1:25" x14ac:dyDescent="0.2">
      <c r="A220" s="995"/>
      <c r="B220" s="995"/>
      <c r="C220" s="995"/>
      <c r="D220" s="995"/>
      <c r="E220" s="995"/>
      <c r="P220" s="952"/>
      <c r="R220" s="996"/>
      <c r="S220" s="996"/>
      <c r="T220" s="996"/>
      <c r="U220" s="996"/>
      <c r="V220" s="996"/>
      <c r="W220" s="996"/>
      <c r="X220" s="996"/>
      <c r="Y220" s="996"/>
    </row>
    <row r="221" spans="1:25" x14ac:dyDescent="0.2">
      <c r="A221" s="995"/>
      <c r="B221" s="995"/>
      <c r="C221" s="995"/>
      <c r="D221" s="995"/>
      <c r="E221" s="995"/>
      <c r="P221" s="952"/>
      <c r="R221" s="996"/>
      <c r="S221" s="996"/>
      <c r="T221" s="996"/>
      <c r="U221" s="996"/>
      <c r="V221" s="996"/>
      <c r="W221" s="996"/>
      <c r="X221" s="996"/>
      <c r="Y221" s="996"/>
    </row>
    <row r="222" spans="1:25" x14ac:dyDescent="0.2">
      <c r="A222" s="995"/>
      <c r="B222" s="995"/>
      <c r="C222" s="995"/>
      <c r="D222" s="995"/>
      <c r="E222" s="995"/>
      <c r="P222" s="952"/>
      <c r="R222" s="996"/>
      <c r="S222" s="996"/>
      <c r="T222" s="996"/>
      <c r="U222" s="996"/>
      <c r="V222" s="996"/>
      <c r="W222" s="996"/>
      <c r="X222" s="996"/>
      <c r="Y222" s="996"/>
    </row>
    <row r="223" spans="1:25" x14ac:dyDescent="0.2">
      <c r="A223" s="995"/>
      <c r="B223" s="995"/>
      <c r="C223" s="995"/>
      <c r="D223" s="995"/>
      <c r="E223" s="995"/>
      <c r="P223" s="952"/>
      <c r="R223" s="996"/>
      <c r="S223" s="996"/>
      <c r="T223" s="996"/>
      <c r="U223" s="996"/>
      <c r="V223" s="996"/>
      <c r="W223" s="996"/>
      <c r="X223" s="996"/>
      <c r="Y223" s="996"/>
    </row>
    <row r="224" spans="1:25" x14ac:dyDescent="0.2">
      <c r="A224" s="995"/>
      <c r="B224" s="995"/>
      <c r="C224" s="995"/>
      <c r="D224" s="995"/>
      <c r="E224" s="995"/>
      <c r="P224" s="952"/>
      <c r="R224" s="996"/>
      <c r="S224" s="996"/>
      <c r="T224" s="996"/>
      <c r="U224" s="996"/>
      <c r="V224" s="996"/>
      <c r="W224" s="996"/>
      <c r="X224" s="996"/>
      <c r="Y224" s="996"/>
    </row>
    <row r="225" spans="1:25" x14ac:dyDescent="0.2">
      <c r="A225" s="995"/>
      <c r="B225" s="995"/>
      <c r="C225" s="995"/>
      <c r="D225" s="995"/>
      <c r="E225" s="995"/>
      <c r="P225" s="952"/>
      <c r="R225" s="996"/>
      <c r="S225" s="996"/>
      <c r="T225" s="996"/>
      <c r="U225" s="996"/>
      <c r="V225" s="996"/>
      <c r="W225" s="996"/>
      <c r="X225" s="996"/>
      <c r="Y225" s="996"/>
    </row>
    <row r="226" spans="1:25" x14ac:dyDescent="0.2">
      <c r="A226" s="995"/>
      <c r="B226" s="995"/>
      <c r="C226" s="995"/>
      <c r="D226" s="995"/>
      <c r="E226" s="995"/>
      <c r="P226" s="952"/>
      <c r="R226" s="996"/>
      <c r="S226" s="996"/>
      <c r="T226" s="996"/>
      <c r="U226" s="996"/>
      <c r="V226" s="996"/>
      <c r="W226" s="996"/>
      <c r="X226" s="996"/>
      <c r="Y226" s="996"/>
    </row>
    <row r="227" spans="1:25" x14ac:dyDescent="0.2">
      <c r="A227" s="995"/>
      <c r="B227" s="995"/>
      <c r="C227" s="995"/>
      <c r="D227" s="995"/>
      <c r="E227" s="995"/>
      <c r="P227" s="952"/>
      <c r="R227" s="996"/>
      <c r="S227" s="996"/>
      <c r="T227" s="996"/>
      <c r="U227" s="996"/>
      <c r="V227" s="996"/>
      <c r="W227" s="996"/>
      <c r="X227" s="996"/>
      <c r="Y227" s="996"/>
    </row>
    <row r="228" spans="1:25" x14ac:dyDescent="0.2">
      <c r="A228" s="995"/>
      <c r="B228" s="995"/>
      <c r="C228" s="995"/>
      <c r="D228" s="995"/>
      <c r="E228" s="995"/>
      <c r="P228" s="952"/>
      <c r="R228" s="996"/>
      <c r="S228" s="996"/>
      <c r="T228" s="996"/>
      <c r="U228" s="996"/>
      <c r="V228" s="996"/>
      <c r="W228" s="996"/>
      <c r="X228" s="996"/>
      <c r="Y228" s="996"/>
    </row>
    <row r="229" spans="1:25" x14ac:dyDescent="0.2">
      <c r="A229" s="995"/>
      <c r="B229" s="995"/>
      <c r="C229" s="995"/>
      <c r="D229" s="995"/>
      <c r="E229" s="995"/>
      <c r="P229" s="952"/>
      <c r="R229" s="996"/>
      <c r="S229" s="996"/>
      <c r="T229" s="996"/>
      <c r="U229" s="996"/>
      <c r="V229" s="996"/>
      <c r="W229" s="996"/>
      <c r="X229" s="996"/>
      <c r="Y229" s="996"/>
    </row>
    <row r="230" spans="1:25" x14ac:dyDescent="0.2">
      <c r="A230" s="995"/>
      <c r="B230" s="995"/>
      <c r="C230" s="995"/>
      <c r="D230" s="995"/>
      <c r="E230" s="995"/>
      <c r="P230" s="952"/>
      <c r="R230" s="996"/>
      <c r="S230" s="996"/>
      <c r="T230" s="996"/>
      <c r="U230" s="996"/>
      <c r="V230" s="996"/>
      <c r="W230" s="996"/>
      <c r="X230" s="996"/>
      <c r="Y230" s="996"/>
    </row>
    <row r="231" spans="1:25" x14ac:dyDescent="0.2">
      <c r="A231" s="995"/>
      <c r="B231" s="995"/>
      <c r="C231" s="995"/>
      <c r="D231" s="995"/>
      <c r="E231" s="995"/>
      <c r="P231" s="952"/>
      <c r="R231" s="996"/>
      <c r="S231" s="996"/>
      <c r="T231" s="996"/>
      <c r="U231" s="996"/>
      <c r="V231" s="996"/>
      <c r="W231" s="996"/>
      <c r="X231" s="996"/>
      <c r="Y231" s="996"/>
    </row>
    <row r="232" spans="1:25" x14ac:dyDescent="0.2">
      <c r="A232" s="995"/>
      <c r="B232" s="995"/>
      <c r="C232" s="995"/>
      <c r="D232" s="995"/>
      <c r="E232" s="995"/>
      <c r="P232" s="952"/>
      <c r="R232" s="996"/>
      <c r="S232" s="996"/>
      <c r="T232" s="996"/>
      <c r="U232" s="996"/>
      <c r="V232" s="996"/>
      <c r="W232" s="996"/>
      <c r="X232" s="996"/>
      <c r="Y232" s="996"/>
    </row>
    <row r="233" spans="1:25" x14ac:dyDescent="0.2">
      <c r="A233" s="995"/>
      <c r="B233" s="995"/>
      <c r="C233" s="995"/>
      <c r="D233" s="995"/>
      <c r="E233" s="995"/>
      <c r="P233" s="952"/>
      <c r="R233" s="996"/>
      <c r="S233" s="996"/>
      <c r="T233" s="996"/>
      <c r="U233" s="996"/>
      <c r="V233" s="996"/>
      <c r="W233" s="996"/>
      <c r="X233" s="996"/>
      <c r="Y233" s="996"/>
    </row>
    <row r="234" spans="1:25" x14ac:dyDescent="0.2">
      <c r="A234" s="995"/>
      <c r="B234" s="995"/>
      <c r="C234" s="995"/>
      <c r="D234" s="995"/>
      <c r="E234" s="995"/>
      <c r="P234" s="952"/>
      <c r="R234" s="996"/>
      <c r="S234" s="996"/>
      <c r="T234" s="996"/>
      <c r="U234" s="996"/>
      <c r="V234" s="996"/>
      <c r="W234" s="996"/>
      <c r="X234" s="996"/>
      <c r="Y234" s="996"/>
    </row>
    <row r="235" spans="1:25" x14ac:dyDescent="0.2">
      <c r="A235" s="995"/>
      <c r="B235" s="995"/>
      <c r="C235" s="995"/>
      <c r="D235" s="995"/>
      <c r="E235" s="995"/>
      <c r="P235" s="952"/>
      <c r="R235" s="996"/>
      <c r="S235" s="996"/>
      <c r="T235" s="996"/>
      <c r="U235" s="996"/>
      <c r="V235" s="996"/>
      <c r="W235" s="996"/>
      <c r="X235" s="996"/>
      <c r="Y235" s="996"/>
    </row>
    <row r="236" spans="1:25" x14ac:dyDescent="0.2">
      <c r="A236" s="995"/>
      <c r="B236" s="995"/>
      <c r="C236" s="995"/>
      <c r="D236" s="995"/>
      <c r="E236" s="995"/>
      <c r="P236" s="952"/>
      <c r="R236" s="996"/>
      <c r="S236" s="996"/>
      <c r="T236" s="996"/>
      <c r="U236" s="996"/>
      <c r="V236" s="996"/>
      <c r="W236" s="996"/>
      <c r="X236" s="996"/>
      <c r="Y236" s="996"/>
    </row>
    <row r="237" spans="1:25" x14ac:dyDescent="0.2">
      <c r="A237" s="995"/>
      <c r="B237" s="995"/>
      <c r="C237" s="995"/>
      <c r="D237" s="995"/>
      <c r="E237" s="995"/>
      <c r="P237" s="952"/>
      <c r="R237" s="996"/>
      <c r="S237" s="996"/>
      <c r="T237" s="996"/>
      <c r="U237" s="996"/>
      <c r="V237" s="996"/>
      <c r="W237" s="996"/>
      <c r="X237" s="996"/>
      <c r="Y237" s="996"/>
    </row>
    <row r="238" spans="1:25" x14ac:dyDescent="0.2">
      <c r="A238" s="995"/>
      <c r="B238" s="995"/>
      <c r="C238" s="995"/>
      <c r="D238" s="995"/>
      <c r="E238" s="995"/>
      <c r="P238" s="952"/>
      <c r="R238" s="996"/>
      <c r="S238" s="996"/>
      <c r="T238" s="996"/>
      <c r="U238" s="996"/>
      <c r="V238" s="996"/>
      <c r="W238" s="996"/>
      <c r="X238" s="996"/>
      <c r="Y238" s="996"/>
    </row>
    <row r="239" spans="1:25" x14ac:dyDescent="0.2">
      <c r="A239" s="995"/>
      <c r="B239" s="995"/>
      <c r="C239" s="995"/>
      <c r="D239" s="995"/>
      <c r="E239" s="995"/>
      <c r="P239" s="952"/>
      <c r="R239" s="996"/>
      <c r="S239" s="996"/>
      <c r="T239" s="996"/>
      <c r="U239" s="996"/>
      <c r="V239" s="996"/>
      <c r="W239" s="996"/>
      <c r="X239" s="996"/>
      <c r="Y239" s="996"/>
    </row>
    <row r="240" spans="1:25" x14ac:dyDescent="0.2">
      <c r="A240" s="995"/>
      <c r="B240" s="995"/>
      <c r="C240" s="995"/>
      <c r="D240" s="995"/>
      <c r="E240" s="995"/>
      <c r="P240" s="952"/>
      <c r="R240" s="996"/>
      <c r="S240" s="996"/>
      <c r="T240" s="996"/>
      <c r="U240" s="996"/>
      <c r="V240" s="996"/>
      <c r="W240" s="996"/>
      <c r="X240" s="996"/>
      <c r="Y240" s="996"/>
    </row>
    <row r="241" spans="1:25" x14ac:dyDescent="0.2">
      <c r="A241" s="995"/>
      <c r="B241" s="995"/>
      <c r="C241" s="995"/>
      <c r="D241" s="995"/>
      <c r="E241" s="995"/>
      <c r="P241" s="952"/>
      <c r="R241" s="996"/>
      <c r="S241" s="996"/>
      <c r="T241" s="996"/>
      <c r="U241" s="996"/>
      <c r="V241" s="996"/>
      <c r="W241" s="996"/>
      <c r="X241" s="996"/>
      <c r="Y241" s="996"/>
    </row>
    <row r="242" spans="1:25" x14ac:dyDescent="0.2">
      <c r="A242" s="995"/>
      <c r="B242" s="995"/>
      <c r="C242" s="995"/>
      <c r="D242" s="995"/>
      <c r="E242" s="995"/>
      <c r="P242" s="952"/>
      <c r="R242" s="996"/>
      <c r="S242" s="996"/>
      <c r="T242" s="996"/>
      <c r="U242" s="996"/>
      <c r="V242" s="996"/>
      <c r="W242" s="996"/>
      <c r="X242" s="996"/>
      <c r="Y242" s="996"/>
    </row>
    <row r="243" spans="1:25" x14ac:dyDescent="0.2">
      <c r="A243" s="995"/>
      <c r="B243" s="995"/>
      <c r="C243" s="995"/>
      <c r="D243" s="995"/>
      <c r="E243" s="995"/>
      <c r="P243" s="952"/>
      <c r="R243" s="996"/>
      <c r="S243" s="996"/>
      <c r="T243" s="996"/>
      <c r="U243" s="996"/>
      <c r="V243" s="996"/>
      <c r="W243" s="996"/>
      <c r="X243" s="996"/>
      <c r="Y243" s="996"/>
    </row>
    <row r="244" spans="1:25" x14ac:dyDescent="0.2">
      <c r="A244" s="995"/>
      <c r="B244" s="995"/>
      <c r="C244" s="995"/>
      <c r="D244" s="995"/>
      <c r="E244" s="995"/>
      <c r="P244" s="952"/>
      <c r="R244" s="996"/>
      <c r="S244" s="996"/>
      <c r="T244" s="996"/>
      <c r="U244" s="996"/>
      <c r="V244" s="996"/>
      <c r="W244" s="996"/>
      <c r="X244" s="996"/>
      <c r="Y244" s="996"/>
    </row>
    <row r="245" spans="1:25" x14ac:dyDescent="0.2">
      <c r="A245" s="995"/>
      <c r="B245" s="995"/>
      <c r="C245" s="995"/>
      <c r="D245" s="995"/>
      <c r="E245" s="995"/>
      <c r="P245" s="952"/>
      <c r="R245" s="996"/>
      <c r="S245" s="996"/>
      <c r="T245" s="996"/>
      <c r="U245" s="996"/>
      <c r="V245" s="996"/>
      <c r="W245" s="996"/>
      <c r="X245" s="996"/>
      <c r="Y245" s="996"/>
    </row>
    <row r="246" spans="1:25" x14ac:dyDescent="0.2">
      <c r="A246" s="995"/>
      <c r="B246" s="995"/>
      <c r="C246" s="995"/>
      <c r="D246" s="995"/>
      <c r="E246" s="995"/>
      <c r="P246" s="952"/>
      <c r="R246" s="996"/>
      <c r="S246" s="996"/>
      <c r="T246" s="996"/>
      <c r="U246" s="996"/>
      <c r="V246" s="996"/>
      <c r="W246" s="996"/>
      <c r="X246" s="996"/>
      <c r="Y246" s="996"/>
    </row>
    <row r="247" spans="1:25" x14ac:dyDescent="0.2">
      <c r="A247" s="995"/>
      <c r="B247" s="995"/>
      <c r="C247" s="995"/>
      <c r="D247" s="995"/>
      <c r="E247" s="995"/>
      <c r="P247" s="952"/>
      <c r="R247" s="996"/>
      <c r="S247" s="996"/>
      <c r="T247" s="996"/>
      <c r="U247" s="996"/>
      <c r="V247" s="996"/>
      <c r="W247" s="996"/>
      <c r="X247" s="996"/>
      <c r="Y247" s="996"/>
    </row>
    <row r="248" spans="1:25" x14ac:dyDescent="0.2">
      <c r="A248" s="995"/>
      <c r="B248" s="995"/>
      <c r="C248" s="995"/>
      <c r="D248" s="995"/>
      <c r="E248" s="995"/>
      <c r="P248" s="952"/>
      <c r="R248" s="996"/>
      <c r="S248" s="996"/>
      <c r="T248" s="996"/>
      <c r="U248" s="996"/>
      <c r="V248" s="996"/>
      <c r="W248" s="996"/>
      <c r="X248" s="996"/>
      <c r="Y248" s="996"/>
    </row>
    <row r="249" spans="1:25" x14ac:dyDescent="0.2">
      <c r="A249" s="995"/>
      <c r="B249" s="995"/>
      <c r="C249" s="995"/>
      <c r="D249" s="995"/>
      <c r="E249" s="995"/>
      <c r="P249" s="952"/>
      <c r="R249" s="996"/>
      <c r="S249" s="996"/>
      <c r="T249" s="996"/>
      <c r="U249" s="996"/>
      <c r="V249" s="996"/>
      <c r="W249" s="996"/>
      <c r="X249" s="996"/>
      <c r="Y249" s="996"/>
    </row>
    <row r="250" spans="1:25" x14ac:dyDescent="0.2">
      <c r="A250" s="995"/>
      <c r="B250" s="995"/>
      <c r="C250" s="995"/>
      <c r="D250" s="995"/>
      <c r="E250" s="995"/>
      <c r="P250" s="952"/>
      <c r="R250" s="996"/>
      <c r="S250" s="996"/>
      <c r="T250" s="996"/>
      <c r="U250" s="996"/>
      <c r="V250" s="996"/>
      <c r="W250" s="996"/>
      <c r="X250" s="996"/>
      <c r="Y250" s="996"/>
    </row>
    <row r="251" spans="1:25" x14ac:dyDescent="0.2">
      <c r="A251" s="995"/>
      <c r="B251" s="995"/>
      <c r="C251" s="995"/>
      <c r="D251" s="995"/>
      <c r="E251" s="995"/>
      <c r="P251" s="952"/>
      <c r="R251" s="996"/>
      <c r="S251" s="996"/>
      <c r="T251" s="996"/>
      <c r="U251" s="996"/>
      <c r="V251" s="996"/>
      <c r="W251" s="996"/>
      <c r="X251" s="996"/>
      <c r="Y251" s="996"/>
    </row>
    <row r="252" spans="1:25" x14ac:dyDescent="0.2">
      <c r="A252" s="995"/>
      <c r="B252" s="995"/>
      <c r="C252" s="995"/>
      <c r="D252" s="995"/>
      <c r="E252" s="995"/>
      <c r="P252" s="952"/>
      <c r="R252" s="996"/>
      <c r="S252" s="996"/>
      <c r="T252" s="996"/>
      <c r="U252" s="996"/>
      <c r="V252" s="996"/>
      <c r="W252" s="996"/>
      <c r="X252" s="996"/>
      <c r="Y252" s="996"/>
    </row>
    <row r="253" spans="1:25" x14ac:dyDescent="0.2">
      <c r="A253" s="995"/>
      <c r="B253" s="995"/>
      <c r="C253" s="995"/>
      <c r="D253" s="995"/>
      <c r="E253" s="995"/>
      <c r="P253" s="952"/>
      <c r="R253" s="996"/>
      <c r="S253" s="996"/>
      <c r="T253" s="996"/>
      <c r="U253" s="996"/>
      <c r="V253" s="996"/>
      <c r="W253" s="996"/>
      <c r="X253" s="996"/>
      <c r="Y253" s="996"/>
    </row>
    <row r="254" spans="1:25" x14ac:dyDescent="0.2">
      <c r="A254" s="995"/>
      <c r="B254" s="995"/>
      <c r="C254" s="995"/>
      <c r="D254" s="995"/>
      <c r="E254" s="995"/>
      <c r="P254" s="952"/>
      <c r="R254" s="996"/>
      <c r="S254" s="996"/>
      <c r="T254" s="996"/>
      <c r="U254" s="996"/>
      <c r="V254" s="996"/>
      <c r="W254" s="996"/>
      <c r="X254" s="996"/>
      <c r="Y254" s="996"/>
    </row>
    <row r="255" spans="1:25" x14ac:dyDescent="0.2">
      <c r="A255" s="995"/>
      <c r="B255" s="995"/>
      <c r="C255" s="995"/>
      <c r="D255" s="995"/>
      <c r="E255" s="995"/>
      <c r="P255" s="952"/>
      <c r="R255" s="996"/>
      <c r="S255" s="996"/>
      <c r="T255" s="996"/>
      <c r="U255" s="996"/>
      <c r="V255" s="996"/>
      <c r="W255" s="996"/>
      <c r="X255" s="996"/>
      <c r="Y255" s="996"/>
    </row>
    <row r="256" spans="1:25" x14ac:dyDescent="0.2">
      <c r="A256" s="995"/>
      <c r="B256" s="995"/>
      <c r="C256" s="995"/>
      <c r="D256" s="995"/>
      <c r="E256" s="995"/>
      <c r="P256" s="952"/>
      <c r="R256" s="996"/>
      <c r="S256" s="996"/>
      <c r="T256" s="996"/>
      <c r="U256" s="996"/>
      <c r="V256" s="996"/>
      <c r="W256" s="996"/>
      <c r="X256" s="996"/>
      <c r="Y256" s="996"/>
    </row>
    <row r="257" spans="1:25" x14ac:dyDescent="0.2">
      <c r="A257" s="995"/>
      <c r="B257" s="995"/>
      <c r="C257" s="995"/>
      <c r="D257" s="995"/>
      <c r="E257" s="995"/>
      <c r="P257" s="952"/>
      <c r="R257" s="996"/>
      <c r="S257" s="996"/>
      <c r="T257" s="996"/>
      <c r="U257" s="996"/>
      <c r="V257" s="996"/>
      <c r="W257" s="996"/>
      <c r="X257" s="996"/>
      <c r="Y257" s="996"/>
    </row>
    <row r="258" spans="1:25" x14ac:dyDescent="0.2">
      <c r="A258" s="995"/>
      <c r="B258" s="995"/>
      <c r="C258" s="995"/>
      <c r="D258" s="995"/>
      <c r="E258" s="995"/>
      <c r="P258" s="952"/>
      <c r="R258" s="996"/>
      <c r="S258" s="996"/>
      <c r="T258" s="996"/>
      <c r="U258" s="996"/>
      <c r="V258" s="996"/>
      <c r="W258" s="996"/>
      <c r="X258" s="996"/>
      <c r="Y258" s="996"/>
    </row>
    <row r="259" spans="1:25" x14ac:dyDescent="0.2">
      <c r="A259" s="995"/>
      <c r="B259" s="995"/>
      <c r="C259" s="995"/>
      <c r="D259" s="995"/>
      <c r="E259" s="995"/>
      <c r="P259" s="952"/>
      <c r="R259" s="996"/>
      <c r="S259" s="996"/>
      <c r="T259" s="996"/>
      <c r="U259" s="996"/>
      <c r="V259" s="996"/>
      <c r="W259" s="996"/>
      <c r="X259" s="996"/>
      <c r="Y259" s="996"/>
    </row>
    <row r="260" spans="1:25" x14ac:dyDescent="0.2">
      <c r="A260" s="995"/>
      <c r="B260" s="995"/>
      <c r="C260" s="995"/>
      <c r="D260" s="995"/>
      <c r="E260" s="995"/>
      <c r="P260" s="952"/>
      <c r="R260" s="996"/>
      <c r="S260" s="996"/>
      <c r="T260" s="996"/>
      <c r="U260" s="996"/>
      <c r="V260" s="996"/>
      <c r="W260" s="996"/>
      <c r="X260" s="996"/>
      <c r="Y260" s="996"/>
    </row>
    <row r="261" spans="1:25" x14ac:dyDescent="0.2">
      <c r="A261" s="995"/>
      <c r="B261" s="995"/>
      <c r="C261" s="995"/>
      <c r="D261" s="995"/>
      <c r="E261" s="995"/>
      <c r="P261" s="952"/>
      <c r="R261" s="996"/>
      <c r="S261" s="996"/>
      <c r="T261" s="996"/>
      <c r="U261" s="996"/>
      <c r="V261" s="996"/>
      <c r="W261" s="996"/>
      <c r="X261" s="996"/>
      <c r="Y261" s="996"/>
    </row>
    <row r="262" spans="1:25" x14ac:dyDescent="0.2">
      <c r="A262" s="995"/>
      <c r="B262" s="995"/>
      <c r="C262" s="995"/>
      <c r="D262" s="995"/>
      <c r="E262" s="995"/>
      <c r="P262" s="952"/>
      <c r="R262" s="996"/>
      <c r="S262" s="996"/>
      <c r="T262" s="996"/>
      <c r="U262" s="996"/>
      <c r="V262" s="996"/>
      <c r="W262" s="996"/>
      <c r="X262" s="996"/>
      <c r="Y262" s="996"/>
    </row>
    <row r="263" spans="1:25" x14ac:dyDescent="0.2">
      <c r="A263" s="995"/>
      <c r="B263" s="995"/>
      <c r="C263" s="995"/>
      <c r="D263" s="995"/>
      <c r="E263" s="995"/>
      <c r="P263" s="952"/>
      <c r="R263" s="996"/>
      <c r="S263" s="996"/>
      <c r="T263" s="996"/>
      <c r="U263" s="996"/>
      <c r="V263" s="996"/>
      <c r="W263" s="996"/>
      <c r="X263" s="996"/>
      <c r="Y263" s="996"/>
    </row>
    <row r="264" spans="1:25" x14ac:dyDescent="0.2">
      <c r="A264" s="995"/>
      <c r="B264" s="995"/>
      <c r="C264" s="995"/>
      <c r="D264" s="995"/>
      <c r="E264" s="995"/>
      <c r="P264" s="952"/>
      <c r="R264" s="996"/>
      <c r="S264" s="996"/>
      <c r="T264" s="996"/>
      <c r="U264" s="996"/>
      <c r="V264" s="996"/>
      <c r="W264" s="996"/>
      <c r="X264" s="996"/>
      <c r="Y264" s="996"/>
    </row>
    <row r="265" spans="1:25" x14ac:dyDescent="0.2">
      <c r="A265" s="995"/>
      <c r="B265" s="995"/>
      <c r="C265" s="995"/>
      <c r="D265" s="995"/>
      <c r="E265" s="995"/>
      <c r="P265" s="952"/>
      <c r="R265" s="996"/>
      <c r="S265" s="996"/>
      <c r="T265" s="996"/>
      <c r="U265" s="996"/>
      <c r="V265" s="996"/>
      <c r="W265" s="996"/>
      <c r="X265" s="996"/>
      <c r="Y265" s="996"/>
    </row>
    <row r="266" spans="1:25" x14ac:dyDescent="0.2">
      <c r="A266" s="995"/>
      <c r="B266" s="995"/>
      <c r="C266" s="995"/>
      <c r="D266" s="995"/>
      <c r="E266" s="995"/>
      <c r="P266" s="952"/>
      <c r="R266" s="996"/>
      <c r="S266" s="996"/>
      <c r="T266" s="996"/>
      <c r="U266" s="996"/>
      <c r="V266" s="996"/>
      <c r="W266" s="996"/>
      <c r="X266" s="996"/>
      <c r="Y266" s="996"/>
    </row>
    <row r="267" spans="1:25" x14ac:dyDescent="0.2">
      <c r="A267" s="995"/>
      <c r="B267" s="995"/>
      <c r="C267" s="995"/>
      <c r="D267" s="995"/>
      <c r="E267" s="995"/>
      <c r="P267" s="952"/>
      <c r="R267" s="996"/>
      <c r="S267" s="996"/>
      <c r="T267" s="996"/>
      <c r="U267" s="996"/>
      <c r="V267" s="996"/>
      <c r="W267" s="996"/>
      <c r="X267" s="996"/>
      <c r="Y267" s="996"/>
    </row>
    <row r="268" spans="1:25" x14ac:dyDescent="0.2">
      <c r="A268" s="995"/>
      <c r="B268" s="995"/>
      <c r="C268" s="995"/>
      <c r="D268" s="995"/>
      <c r="E268" s="995"/>
      <c r="P268" s="952"/>
      <c r="R268" s="996"/>
      <c r="S268" s="996"/>
      <c r="T268" s="996"/>
      <c r="U268" s="996"/>
      <c r="V268" s="996"/>
      <c r="W268" s="996"/>
      <c r="X268" s="996"/>
      <c r="Y268" s="996"/>
    </row>
    <row r="269" spans="1:25" x14ac:dyDescent="0.2">
      <c r="A269" s="995"/>
      <c r="B269" s="995"/>
      <c r="C269" s="995"/>
      <c r="D269" s="995"/>
      <c r="E269" s="995"/>
      <c r="P269" s="952"/>
      <c r="R269" s="996"/>
      <c r="S269" s="996"/>
      <c r="T269" s="996"/>
      <c r="U269" s="996"/>
      <c r="V269" s="996"/>
      <c r="W269" s="996"/>
      <c r="X269" s="996"/>
      <c r="Y269" s="996"/>
    </row>
    <row r="270" spans="1:25" x14ac:dyDescent="0.2">
      <c r="A270" s="995"/>
      <c r="B270" s="995"/>
      <c r="C270" s="995"/>
      <c r="D270" s="995"/>
      <c r="E270" s="995"/>
      <c r="P270" s="952"/>
      <c r="R270" s="996"/>
      <c r="S270" s="996"/>
      <c r="T270" s="996"/>
      <c r="U270" s="996"/>
      <c r="V270" s="996"/>
      <c r="W270" s="996"/>
      <c r="X270" s="996"/>
      <c r="Y270" s="996"/>
    </row>
    <row r="271" spans="1:25" x14ac:dyDescent="0.2">
      <c r="A271" s="995"/>
      <c r="B271" s="995"/>
      <c r="C271" s="995"/>
      <c r="D271" s="995"/>
      <c r="E271" s="995"/>
      <c r="P271" s="952"/>
      <c r="R271" s="996"/>
      <c r="S271" s="996"/>
      <c r="T271" s="996"/>
      <c r="U271" s="996"/>
      <c r="V271" s="996"/>
      <c r="W271" s="996"/>
      <c r="X271" s="996"/>
      <c r="Y271" s="996"/>
    </row>
    <row r="272" spans="1:25" x14ac:dyDescent="0.2">
      <c r="A272" s="995"/>
      <c r="B272" s="995"/>
      <c r="C272" s="995"/>
      <c r="D272" s="995"/>
      <c r="E272" s="995"/>
      <c r="P272" s="952"/>
      <c r="R272" s="996"/>
      <c r="S272" s="996"/>
      <c r="T272" s="996"/>
      <c r="U272" s="996"/>
      <c r="V272" s="996"/>
      <c r="W272" s="996"/>
      <c r="X272" s="996"/>
      <c r="Y272" s="996"/>
    </row>
    <row r="273" spans="1:25" x14ac:dyDescent="0.2">
      <c r="A273" s="995"/>
      <c r="B273" s="995"/>
      <c r="C273" s="995"/>
      <c r="D273" s="995"/>
      <c r="E273" s="995"/>
      <c r="P273" s="952"/>
      <c r="R273" s="996"/>
      <c r="S273" s="996"/>
      <c r="T273" s="996"/>
      <c r="U273" s="996"/>
      <c r="V273" s="996"/>
      <c r="W273" s="996"/>
      <c r="X273" s="996"/>
      <c r="Y273" s="996"/>
    </row>
    <row r="274" spans="1:25" x14ac:dyDescent="0.2">
      <c r="A274" s="995"/>
      <c r="B274" s="995"/>
      <c r="C274" s="995"/>
      <c r="D274" s="995"/>
      <c r="E274" s="995"/>
      <c r="P274" s="952"/>
      <c r="R274" s="996"/>
      <c r="S274" s="996"/>
      <c r="T274" s="996"/>
      <c r="U274" s="996"/>
      <c r="V274" s="996"/>
      <c r="W274" s="996"/>
      <c r="X274" s="996"/>
      <c r="Y274" s="996"/>
    </row>
    <row r="275" spans="1:25" x14ac:dyDescent="0.2">
      <c r="A275" s="995"/>
      <c r="B275" s="995"/>
      <c r="C275" s="995"/>
      <c r="D275" s="995"/>
      <c r="E275" s="995"/>
      <c r="P275" s="952"/>
      <c r="R275" s="996"/>
      <c r="S275" s="996"/>
      <c r="T275" s="996"/>
      <c r="U275" s="996"/>
      <c r="V275" s="996"/>
      <c r="W275" s="996"/>
      <c r="X275" s="996"/>
      <c r="Y275" s="996"/>
    </row>
    <row r="276" spans="1:25" x14ac:dyDescent="0.2">
      <c r="A276" s="995"/>
      <c r="B276" s="995"/>
      <c r="C276" s="995"/>
      <c r="D276" s="995"/>
      <c r="E276" s="995"/>
      <c r="P276" s="952"/>
      <c r="R276" s="996"/>
      <c r="S276" s="996"/>
      <c r="T276" s="996"/>
      <c r="U276" s="996"/>
      <c r="V276" s="996"/>
      <c r="W276" s="996"/>
      <c r="X276" s="996"/>
      <c r="Y276" s="996"/>
    </row>
    <row r="277" spans="1:25" x14ac:dyDescent="0.2">
      <c r="A277" s="995"/>
      <c r="B277" s="995"/>
      <c r="C277" s="995"/>
      <c r="D277" s="995"/>
      <c r="E277" s="995"/>
      <c r="P277" s="952"/>
      <c r="R277" s="996"/>
      <c r="S277" s="996"/>
      <c r="T277" s="996"/>
      <c r="U277" s="996"/>
      <c r="V277" s="996"/>
      <c r="W277" s="996"/>
      <c r="X277" s="996"/>
      <c r="Y277" s="996"/>
    </row>
    <row r="278" spans="1:25" x14ac:dyDescent="0.2">
      <c r="A278" s="995"/>
      <c r="B278" s="995"/>
      <c r="C278" s="995"/>
      <c r="D278" s="995"/>
      <c r="E278" s="995"/>
      <c r="P278" s="952"/>
      <c r="R278" s="996"/>
      <c r="S278" s="996"/>
      <c r="T278" s="996"/>
      <c r="U278" s="996"/>
      <c r="V278" s="996"/>
      <c r="W278" s="996"/>
      <c r="X278" s="996"/>
      <c r="Y278" s="996"/>
    </row>
    <row r="279" spans="1:25" x14ac:dyDescent="0.2">
      <c r="A279" s="995"/>
      <c r="B279" s="995"/>
      <c r="C279" s="995"/>
      <c r="D279" s="995"/>
      <c r="E279" s="995"/>
      <c r="P279" s="952"/>
      <c r="R279" s="996"/>
      <c r="S279" s="996"/>
      <c r="T279" s="996"/>
      <c r="U279" s="996"/>
      <c r="V279" s="996"/>
      <c r="W279" s="996"/>
      <c r="X279" s="996"/>
      <c r="Y279" s="996"/>
    </row>
    <row r="280" spans="1:25" x14ac:dyDescent="0.2">
      <c r="A280" s="995"/>
      <c r="B280" s="995"/>
      <c r="C280" s="995"/>
      <c r="D280" s="995"/>
      <c r="E280" s="995"/>
      <c r="P280" s="952"/>
      <c r="R280" s="996"/>
      <c r="S280" s="996"/>
      <c r="T280" s="996"/>
      <c r="U280" s="996"/>
      <c r="V280" s="996"/>
      <c r="W280" s="996"/>
      <c r="X280" s="996"/>
      <c r="Y280" s="996"/>
    </row>
    <row r="281" spans="1:25" x14ac:dyDescent="0.2">
      <c r="A281" s="995"/>
      <c r="B281" s="995"/>
      <c r="C281" s="995"/>
      <c r="D281" s="995"/>
      <c r="E281" s="995"/>
      <c r="P281" s="952"/>
      <c r="R281" s="996"/>
      <c r="S281" s="996"/>
      <c r="T281" s="996"/>
      <c r="U281" s="996"/>
      <c r="V281" s="996"/>
      <c r="W281" s="996"/>
      <c r="X281" s="996"/>
      <c r="Y281" s="996"/>
    </row>
    <row r="282" spans="1:25" x14ac:dyDescent="0.2">
      <c r="A282" s="995"/>
      <c r="B282" s="995"/>
      <c r="C282" s="995"/>
      <c r="D282" s="995"/>
      <c r="E282" s="995"/>
      <c r="P282" s="952"/>
      <c r="R282" s="996"/>
      <c r="S282" s="996"/>
      <c r="T282" s="996"/>
      <c r="U282" s="996"/>
      <c r="V282" s="996"/>
      <c r="W282" s="996"/>
      <c r="X282" s="996"/>
      <c r="Y282" s="996"/>
    </row>
    <row r="283" spans="1:25" x14ac:dyDescent="0.2">
      <c r="A283" s="995"/>
      <c r="B283" s="995"/>
      <c r="C283" s="995"/>
      <c r="D283" s="995"/>
      <c r="E283" s="995"/>
      <c r="P283" s="952"/>
      <c r="R283" s="996"/>
      <c r="S283" s="996"/>
      <c r="T283" s="996"/>
      <c r="U283" s="996"/>
      <c r="V283" s="996"/>
      <c r="W283" s="996"/>
      <c r="X283" s="996"/>
      <c r="Y283" s="996"/>
    </row>
    <row r="284" spans="1:25" x14ac:dyDescent="0.2">
      <c r="A284" s="995"/>
      <c r="B284" s="995"/>
      <c r="C284" s="995"/>
      <c r="D284" s="995"/>
      <c r="E284" s="995"/>
      <c r="P284" s="952"/>
      <c r="R284" s="996"/>
      <c r="S284" s="996"/>
      <c r="T284" s="996"/>
      <c r="U284" s="996"/>
      <c r="V284" s="996"/>
      <c r="W284" s="996"/>
      <c r="X284" s="996"/>
      <c r="Y284" s="996"/>
    </row>
    <row r="285" spans="1:25" x14ac:dyDescent="0.2">
      <c r="A285" s="995"/>
      <c r="B285" s="995"/>
      <c r="C285" s="995"/>
      <c r="D285" s="995"/>
      <c r="E285" s="995"/>
      <c r="P285" s="952"/>
      <c r="R285" s="996"/>
      <c r="S285" s="996"/>
      <c r="T285" s="996"/>
      <c r="U285" s="996"/>
      <c r="V285" s="996"/>
      <c r="W285" s="996"/>
      <c r="X285" s="996"/>
      <c r="Y285" s="996"/>
    </row>
    <row r="286" spans="1:25" x14ac:dyDescent="0.2">
      <c r="A286" s="995"/>
      <c r="B286" s="995"/>
      <c r="C286" s="995"/>
      <c r="D286" s="995"/>
      <c r="E286" s="995"/>
      <c r="P286" s="952"/>
      <c r="R286" s="996"/>
      <c r="S286" s="996"/>
      <c r="T286" s="996"/>
      <c r="U286" s="996"/>
      <c r="V286" s="996"/>
      <c r="W286" s="996"/>
      <c r="X286" s="996"/>
      <c r="Y286" s="996"/>
    </row>
    <row r="287" spans="1:25" x14ac:dyDescent="0.2">
      <c r="A287" s="995"/>
      <c r="B287" s="995"/>
      <c r="C287" s="995"/>
      <c r="D287" s="995"/>
      <c r="E287" s="995"/>
      <c r="P287" s="952"/>
      <c r="R287" s="996"/>
      <c r="S287" s="996"/>
      <c r="T287" s="996"/>
      <c r="U287" s="996"/>
      <c r="V287" s="996"/>
      <c r="W287" s="996"/>
      <c r="X287" s="996"/>
      <c r="Y287" s="996"/>
    </row>
    <row r="288" spans="1:25" x14ac:dyDescent="0.2">
      <c r="A288" s="995"/>
      <c r="B288" s="995"/>
      <c r="C288" s="995"/>
      <c r="D288" s="995"/>
      <c r="E288" s="995"/>
      <c r="P288" s="952"/>
      <c r="R288" s="996"/>
      <c r="S288" s="996"/>
      <c r="T288" s="996"/>
      <c r="U288" s="996"/>
      <c r="V288" s="996"/>
      <c r="W288" s="996"/>
      <c r="X288" s="996"/>
      <c r="Y288" s="996"/>
    </row>
    <row r="289" spans="1:25" x14ac:dyDescent="0.2">
      <c r="A289" s="995"/>
      <c r="B289" s="995"/>
      <c r="C289" s="995"/>
      <c r="D289" s="995"/>
      <c r="E289" s="995"/>
      <c r="P289" s="952"/>
      <c r="R289" s="996"/>
      <c r="S289" s="996"/>
      <c r="T289" s="996"/>
      <c r="U289" s="996"/>
      <c r="V289" s="996"/>
      <c r="W289" s="996"/>
      <c r="X289" s="996"/>
      <c r="Y289" s="996"/>
    </row>
    <row r="290" spans="1:25" x14ac:dyDescent="0.2">
      <c r="A290" s="995"/>
      <c r="B290" s="995"/>
      <c r="C290" s="995"/>
      <c r="D290" s="995"/>
      <c r="E290" s="995"/>
      <c r="P290" s="952"/>
      <c r="R290" s="996"/>
      <c r="S290" s="996"/>
      <c r="T290" s="996"/>
      <c r="U290" s="996"/>
      <c r="V290" s="996"/>
      <c r="W290" s="996"/>
      <c r="X290" s="996"/>
      <c r="Y290" s="996"/>
    </row>
    <row r="291" spans="1:25" x14ac:dyDescent="0.2">
      <c r="A291" s="995"/>
      <c r="B291" s="995"/>
      <c r="C291" s="995"/>
      <c r="D291" s="995"/>
      <c r="E291" s="995"/>
      <c r="P291" s="952"/>
      <c r="R291" s="996"/>
      <c r="S291" s="996"/>
      <c r="T291" s="996"/>
      <c r="U291" s="996"/>
      <c r="V291" s="996"/>
      <c r="W291" s="996"/>
      <c r="X291" s="996"/>
      <c r="Y291" s="996"/>
    </row>
    <row r="292" spans="1:25" x14ac:dyDescent="0.2">
      <c r="A292" s="995"/>
      <c r="B292" s="995"/>
      <c r="C292" s="995"/>
      <c r="D292" s="995"/>
      <c r="E292" s="995"/>
      <c r="P292" s="952"/>
      <c r="R292" s="996"/>
      <c r="S292" s="996"/>
      <c r="T292" s="996"/>
      <c r="U292" s="996"/>
      <c r="V292" s="996"/>
      <c r="W292" s="996"/>
      <c r="X292" s="996"/>
      <c r="Y292" s="996"/>
    </row>
    <row r="293" spans="1:25" x14ac:dyDescent="0.2">
      <c r="A293" s="995"/>
      <c r="B293" s="995"/>
      <c r="C293" s="995"/>
      <c r="D293" s="995"/>
      <c r="E293" s="995"/>
      <c r="P293" s="952"/>
      <c r="R293" s="996"/>
      <c r="S293" s="996"/>
      <c r="T293" s="996"/>
      <c r="U293" s="996"/>
      <c r="V293" s="996"/>
      <c r="W293" s="996"/>
      <c r="X293" s="996"/>
      <c r="Y293" s="996"/>
    </row>
    <row r="294" spans="1:25" x14ac:dyDescent="0.2">
      <c r="A294" s="995"/>
      <c r="B294" s="995"/>
      <c r="C294" s="995"/>
      <c r="D294" s="995"/>
      <c r="E294" s="995"/>
      <c r="P294" s="952"/>
      <c r="R294" s="996"/>
      <c r="S294" s="996"/>
      <c r="T294" s="996"/>
      <c r="U294" s="996"/>
      <c r="V294" s="996"/>
      <c r="W294" s="996"/>
      <c r="X294" s="996"/>
      <c r="Y294" s="996"/>
    </row>
    <row r="295" spans="1:25" x14ac:dyDescent="0.2">
      <c r="A295" s="995"/>
      <c r="B295" s="995"/>
      <c r="C295" s="995"/>
      <c r="D295" s="995"/>
      <c r="E295" s="995"/>
      <c r="P295" s="952"/>
      <c r="R295" s="996"/>
      <c r="S295" s="996"/>
      <c r="T295" s="996"/>
      <c r="U295" s="996"/>
      <c r="V295" s="996"/>
      <c r="W295" s="996"/>
      <c r="X295" s="996"/>
      <c r="Y295" s="996"/>
    </row>
    <row r="296" spans="1:25" x14ac:dyDescent="0.2">
      <c r="A296" s="995"/>
      <c r="B296" s="995"/>
      <c r="C296" s="995"/>
      <c r="D296" s="995"/>
      <c r="E296" s="995"/>
      <c r="P296" s="952"/>
      <c r="R296" s="996"/>
      <c r="S296" s="996"/>
      <c r="T296" s="996"/>
      <c r="U296" s="996"/>
      <c r="V296" s="996"/>
      <c r="W296" s="996"/>
      <c r="X296" s="996"/>
      <c r="Y296" s="996"/>
    </row>
    <row r="297" spans="1:25" x14ac:dyDescent="0.2">
      <c r="A297" s="995"/>
      <c r="B297" s="995"/>
      <c r="C297" s="995"/>
      <c r="D297" s="995"/>
      <c r="E297" s="995"/>
      <c r="P297" s="952"/>
      <c r="R297" s="996"/>
      <c r="S297" s="996"/>
      <c r="T297" s="996"/>
      <c r="U297" s="996"/>
      <c r="V297" s="996"/>
      <c r="W297" s="996"/>
      <c r="X297" s="996"/>
      <c r="Y297" s="996"/>
    </row>
    <row r="298" spans="1:25" x14ac:dyDescent="0.2">
      <c r="A298" s="995"/>
      <c r="B298" s="995"/>
      <c r="C298" s="995"/>
      <c r="D298" s="995"/>
      <c r="E298" s="995"/>
      <c r="P298" s="952"/>
      <c r="R298" s="996"/>
      <c r="S298" s="996"/>
      <c r="T298" s="996"/>
      <c r="U298" s="996"/>
      <c r="V298" s="996"/>
      <c r="W298" s="996"/>
      <c r="X298" s="996"/>
      <c r="Y298" s="996"/>
    </row>
    <row r="299" spans="1:25" x14ac:dyDescent="0.2">
      <c r="A299" s="995"/>
      <c r="B299" s="995"/>
      <c r="C299" s="995"/>
      <c r="D299" s="995"/>
      <c r="E299" s="995"/>
      <c r="P299" s="952"/>
      <c r="R299" s="996"/>
      <c r="S299" s="996"/>
      <c r="T299" s="996"/>
      <c r="U299" s="996"/>
      <c r="V299" s="996"/>
      <c r="W299" s="996"/>
      <c r="X299" s="996"/>
      <c r="Y299" s="996"/>
    </row>
    <row r="300" spans="1:25" x14ac:dyDescent="0.2">
      <c r="A300" s="995"/>
      <c r="B300" s="995"/>
      <c r="C300" s="995"/>
      <c r="D300" s="995"/>
      <c r="E300" s="995"/>
      <c r="P300" s="952"/>
      <c r="R300" s="996"/>
      <c r="S300" s="996"/>
      <c r="T300" s="996"/>
      <c r="U300" s="996"/>
      <c r="V300" s="996"/>
      <c r="W300" s="996"/>
      <c r="X300" s="996"/>
      <c r="Y300" s="996"/>
    </row>
    <row r="301" spans="1:25" x14ac:dyDescent="0.2">
      <c r="A301" s="995"/>
      <c r="B301" s="995"/>
      <c r="C301" s="995"/>
      <c r="D301" s="995"/>
      <c r="E301" s="995"/>
      <c r="P301" s="952"/>
      <c r="R301" s="996"/>
      <c r="S301" s="996"/>
      <c r="T301" s="996"/>
      <c r="U301" s="996"/>
      <c r="V301" s="996"/>
      <c r="W301" s="996"/>
      <c r="X301" s="996"/>
      <c r="Y301" s="996"/>
    </row>
    <row r="302" spans="1:25" x14ac:dyDescent="0.2">
      <c r="A302" s="995"/>
      <c r="B302" s="995"/>
      <c r="C302" s="995"/>
      <c r="D302" s="995"/>
      <c r="E302" s="995"/>
      <c r="P302" s="952"/>
      <c r="R302" s="996"/>
      <c r="S302" s="996"/>
      <c r="T302" s="996"/>
      <c r="U302" s="996"/>
      <c r="V302" s="996"/>
      <c r="W302" s="996"/>
      <c r="X302" s="996"/>
      <c r="Y302" s="996"/>
    </row>
    <row r="303" spans="1:25" x14ac:dyDescent="0.2">
      <c r="A303" s="995"/>
      <c r="B303" s="995"/>
      <c r="C303" s="995"/>
      <c r="D303" s="995"/>
      <c r="E303" s="995"/>
      <c r="P303" s="952"/>
      <c r="R303" s="996"/>
      <c r="S303" s="996"/>
      <c r="T303" s="996"/>
      <c r="U303" s="996"/>
      <c r="V303" s="996"/>
      <c r="W303" s="996"/>
      <c r="X303" s="996"/>
      <c r="Y303" s="996"/>
    </row>
    <row r="304" spans="1:25" x14ac:dyDescent="0.2">
      <c r="A304" s="995"/>
      <c r="B304" s="995"/>
      <c r="C304" s="995"/>
      <c r="D304" s="995"/>
      <c r="E304" s="995"/>
      <c r="P304" s="952"/>
      <c r="R304" s="996"/>
      <c r="S304" s="996"/>
      <c r="T304" s="996"/>
      <c r="U304" s="996"/>
      <c r="V304" s="996"/>
      <c r="W304" s="996"/>
      <c r="X304" s="996"/>
      <c r="Y304" s="996"/>
    </row>
    <row r="305" spans="1:25" x14ac:dyDescent="0.2">
      <c r="A305" s="995"/>
      <c r="B305" s="995"/>
      <c r="C305" s="995"/>
      <c r="D305" s="995"/>
      <c r="E305" s="995"/>
      <c r="P305" s="952"/>
      <c r="R305" s="996"/>
      <c r="S305" s="996"/>
      <c r="T305" s="996"/>
      <c r="U305" s="996"/>
      <c r="V305" s="996"/>
      <c r="W305" s="996"/>
      <c r="X305" s="996"/>
      <c r="Y305" s="996"/>
    </row>
    <row r="306" spans="1:25" x14ac:dyDescent="0.2">
      <c r="A306" s="995"/>
      <c r="B306" s="995"/>
      <c r="C306" s="995"/>
      <c r="D306" s="995"/>
      <c r="E306" s="995"/>
      <c r="P306" s="952"/>
      <c r="R306" s="996"/>
      <c r="S306" s="996"/>
      <c r="T306" s="996"/>
      <c r="U306" s="996"/>
      <c r="V306" s="996"/>
      <c r="W306" s="996"/>
      <c r="X306" s="996"/>
      <c r="Y306" s="996"/>
    </row>
    <row r="307" spans="1:25" x14ac:dyDescent="0.2">
      <c r="A307" s="995"/>
      <c r="B307" s="995"/>
      <c r="C307" s="995"/>
      <c r="D307" s="995"/>
      <c r="E307" s="995"/>
      <c r="P307" s="952"/>
      <c r="R307" s="996"/>
      <c r="S307" s="996"/>
      <c r="T307" s="996"/>
      <c r="U307" s="996"/>
      <c r="V307" s="996"/>
      <c r="W307" s="996"/>
      <c r="X307" s="996"/>
      <c r="Y307" s="996"/>
    </row>
    <row r="308" spans="1:25" x14ac:dyDescent="0.2">
      <c r="A308" s="995"/>
      <c r="B308" s="995"/>
      <c r="C308" s="995"/>
      <c r="D308" s="995"/>
      <c r="E308" s="995"/>
      <c r="P308" s="952"/>
      <c r="R308" s="996"/>
      <c r="S308" s="996"/>
      <c r="T308" s="996"/>
      <c r="U308" s="996"/>
      <c r="V308" s="996"/>
      <c r="W308" s="996"/>
      <c r="X308" s="996"/>
      <c r="Y308" s="996"/>
    </row>
    <row r="309" spans="1:25" x14ac:dyDescent="0.2">
      <c r="A309" s="995"/>
      <c r="B309" s="995"/>
      <c r="C309" s="995"/>
      <c r="D309" s="995"/>
      <c r="E309" s="995"/>
      <c r="P309" s="952"/>
      <c r="R309" s="996"/>
      <c r="S309" s="996"/>
      <c r="T309" s="996"/>
      <c r="U309" s="996"/>
      <c r="V309" s="996"/>
      <c r="W309" s="996"/>
      <c r="X309" s="996"/>
      <c r="Y309" s="996"/>
    </row>
    <row r="310" spans="1:25" x14ac:dyDescent="0.2">
      <c r="A310" s="995"/>
      <c r="B310" s="995"/>
      <c r="C310" s="995"/>
      <c r="D310" s="995"/>
      <c r="E310" s="995"/>
      <c r="P310" s="952"/>
      <c r="R310" s="996"/>
      <c r="S310" s="996"/>
      <c r="T310" s="996"/>
      <c r="U310" s="996"/>
      <c r="V310" s="996"/>
      <c r="W310" s="996"/>
      <c r="X310" s="996"/>
      <c r="Y310" s="996"/>
    </row>
    <row r="311" spans="1:25" x14ac:dyDescent="0.2">
      <c r="A311" s="995"/>
      <c r="B311" s="995"/>
      <c r="C311" s="995"/>
      <c r="D311" s="995"/>
      <c r="E311" s="995"/>
      <c r="P311" s="952"/>
      <c r="R311" s="996"/>
      <c r="S311" s="996"/>
      <c r="T311" s="996"/>
      <c r="U311" s="996"/>
      <c r="V311" s="996"/>
      <c r="W311" s="996"/>
      <c r="X311" s="996"/>
      <c r="Y311" s="996"/>
    </row>
    <row r="312" spans="1:25" x14ac:dyDescent="0.2">
      <c r="A312" s="995"/>
      <c r="B312" s="995"/>
      <c r="C312" s="995"/>
      <c r="D312" s="995"/>
      <c r="E312" s="995"/>
      <c r="P312" s="952"/>
      <c r="R312" s="996"/>
      <c r="S312" s="996"/>
      <c r="T312" s="996"/>
      <c r="U312" s="996"/>
      <c r="V312" s="996"/>
      <c r="W312" s="996"/>
      <c r="X312" s="996"/>
      <c r="Y312" s="996"/>
    </row>
    <row r="313" spans="1:25" x14ac:dyDescent="0.2">
      <c r="A313" s="995"/>
      <c r="B313" s="995"/>
      <c r="C313" s="995"/>
      <c r="D313" s="995"/>
      <c r="E313" s="995"/>
      <c r="P313" s="952"/>
      <c r="R313" s="996"/>
      <c r="S313" s="996"/>
      <c r="T313" s="996"/>
      <c r="U313" s="996"/>
      <c r="V313" s="996"/>
      <c r="W313" s="996"/>
      <c r="X313" s="996"/>
      <c r="Y313" s="996"/>
    </row>
    <row r="314" spans="1:25" x14ac:dyDescent="0.2">
      <c r="A314" s="995"/>
      <c r="B314" s="995"/>
      <c r="C314" s="995"/>
      <c r="D314" s="995"/>
      <c r="E314" s="995"/>
      <c r="P314" s="952"/>
      <c r="R314" s="996"/>
      <c r="S314" s="996"/>
      <c r="T314" s="996"/>
      <c r="U314" s="996"/>
      <c r="V314" s="996"/>
      <c r="W314" s="996"/>
      <c r="X314" s="996"/>
      <c r="Y314" s="996"/>
    </row>
    <row r="315" spans="1:25" x14ac:dyDescent="0.2">
      <c r="A315" s="995"/>
      <c r="B315" s="995"/>
      <c r="C315" s="995"/>
      <c r="D315" s="995"/>
      <c r="E315" s="995"/>
      <c r="P315" s="952"/>
      <c r="R315" s="996"/>
      <c r="S315" s="996"/>
      <c r="T315" s="996"/>
      <c r="U315" s="996"/>
      <c r="V315" s="996"/>
      <c r="W315" s="996"/>
      <c r="X315" s="996"/>
      <c r="Y315" s="996"/>
    </row>
    <row r="316" spans="1:25" x14ac:dyDescent="0.2">
      <c r="A316" s="995"/>
      <c r="B316" s="995"/>
      <c r="C316" s="995"/>
      <c r="D316" s="995"/>
      <c r="E316" s="995"/>
      <c r="P316" s="952"/>
      <c r="R316" s="996"/>
      <c r="S316" s="996"/>
      <c r="T316" s="996"/>
      <c r="U316" s="996"/>
      <c r="V316" s="996"/>
      <c r="W316" s="996"/>
      <c r="X316" s="996"/>
      <c r="Y316" s="996"/>
    </row>
    <row r="317" spans="1:25" x14ac:dyDescent="0.2">
      <c r="A317" s="995"/>
      <c r="B317" s="995"/>
      <c r="C317" s="995"/>
      <c r="D317" s="995"/>
      <c r="E317" s="995"/>
      <c r="P317" s="952"/>
      <c r="R317" s="996"/>
      <c r="S317" s="996"/>
      <c r="T317" s="996"/>
      <c r="U317" s="996"/>
      <c r="V317" s="996"/>
      <c r="W317" s="996"/>
      <c r="X317" s="996"/>
      <c r="Y317" s="996"/>
    </row>
    <row r="318" spans="1:25" x14ac:dyDescent="0.2">
      <c r="A318" s="995"/>
      <c r="B318" s="995"/>
      <c r="C318" s="995"/>
      <c r="D318" s="995"/>
      <c r="E318" s="995"/>
      <c r="P318" s="952"/>
      <c r="R318" s="996"/>
      <c r="S318" s="996"/>
      <c r="T318" s="996"/>
      <c r="U318" s="996"/>
      <c r="V318" s="996"/>
      <c r="W318" s="996"/>
      <c r="X318" s="996"/>
      <c r="Y318" s="996"/>
    </row>
    <row r="319" spans="1:25" x14ac:dyDescent="0.2">
      <c r="A319" s="995"/>
      <c r="B319" s="995"/>
      <c r="C319" s="995"/>
      <c r="D319" s="995"/>
      <c r="E319" s="995"/>
      <c r="P319" s="952"/>
      <c r="R319" s="996"/>
      <c r="S319" s="996"/>
      <c r="T319" s="996"/>
      <c r="U319" s="996"/>
      <c r="V319" s="996"/>
      <c r="W319" s="996"/>
      <c r="X319" s="996"/>
      <c r="Y319" s="996"/>
    </row>
    <row r="320" spans="1:25" x14ac:dyDescent="0.2">
      <c r="A320" s="995"/>
      <c r="B320" s="995"/>
      <c r="C320" s="995"/>
      <c r="D320" s="995"/>
      <c r="E320" s="995"/>
      <c r="P320" s="952"/>
      <c r="R320" s="996"/>
      <c r="S320" s="996"/>
      <c r="T320" s="996"/>
      <c r="U320" s="996"/>
      <c r="V320" s="996"/>
      <c r="W320" s="996"/>
      <c r="X320" s="996"/>
      <c r="Y320" s="996"/>
    </row>
    <row r="321" spans="1:25" x14ac:dyDescent="0.2">
      <c r="A321" s="995"/>
      <c r="B321" s="995"/>
      <c r="C321" s="995"/>
      <c r="D321" s="995"/>
      <c r="E321" s="995"/>
      <c r="P321" s="952"/>
      <c r="R321" s="996"/>
      <c r="S321" s="996"/>
      <c r="T321" s="996"/>
      <c r="U321" s="996"/>
      <c r="V321" s="996"/>
      <c r="W321" s="996"/>
      <c r="X321" s="996"/>
      <c r="Y321" s="996"/>
    </row>
    <row r="322" spans="1:25" x14ac:dyDescent="0.2">
      <c r="A322" s="995"/>
      <c r="B322" s="995"/>
      <c r="C322" s="995"/>
      <c r="D322" s="995"/>
      <c r="E322" s="995"/>
      <c r="P322" s="952"/>
      <c r="R322" s="996"/>
      <c r="S322" s="996"/>
      <c r="T322" s="996"/>
      <c r="U322" s="996"/>
      <c r="V322" s="996"/>
      <c r="W322" s="996"/>
      <c r="X322" s="996"/>
      <c r="Y322" s="996"/>
    </row>
    <row r="323" spans="1:25" x14ac:dyDescent="0.2">
      <c r="A323" s="995"/>
      <c r="B323" s="995"/>
      <c r="C323" s="995"/>
      <c r="D323" s="995"/>
      <c r="E323" s="995"/>
      <c r="P323" s="952"/>
      <c r="R323" s="996"/>
      <c r="S323" s="996"/>
      <c r="T323" s="996"/>
      <c r="U323" s="996"/>
      <c r="V323" s="996"/>
      <c r="W323" s="996"/>
      <c r="X323" s="996"/>
      <c r="Y323" s="996"/>
    </row>
    <row r="324" spans="1:25" x14ac:dyDescent="0.2">
      <c r="A324" s="995"/>
      <c r="B324" s="995"/>
      <c r="C324" s="995"/>
      <c r="D324" s="995"/>
      <c r="E324" s="995"/>
      <c r="P324" s="952"/>
      <c r="R324" s="996"/>
      <c r="S324" s="996"/>
      <c r="T324" s="996"/>
      <c r="U324" s="996"/>
      <c r="V324" s="996"/>
      <c r="W324" s="996"/>
      <c r="X324" s="996"/>
      <c r="Y324" s="996"/>
    </row>
    <row r="325" spans="1:25" x14ac:dyDescent="0.2">
      <c r="A325" s="995"/>
      <c r="B325" s="995"/>
      <c r="C325" s="995"/>
      <c r="D325" s="995"/>
      <c r="E325" s="995"/>
      <c r="P325" s="952"/>
      <c r="R325" s="996"/>
      <c r="S325" s="996"/>
      <c r="T325" s="996"/>
      <c r="U325" s="996"/>
      <c r="V325" s="996"/>
      <c r="W325" s="996"/>
      <c r="X325" s="996"/>
      <c r="Y325" s="996"/>
    </row>
    <row r="326" spans="1:25" x14ac:dyDescent="0.2">
      <c r="A326" s="995"/>
      <c r="B326" s="995"/>
      <c r="C326" s="995"/>
      <c r="D326" s="995"/>
      <c r="E326" s="995"/>
      <c r="P326" s="952"/>
      <c r="R326" s="996"/>
      <c r="S326" s="996"/>
      <c r="T326" s="996"/>
      <c r="U326" s="996"/>
      <c r="V326" s="996"/>
      <c r="W326" s="996"/>
      <c r="X326" s="996"/>
      <c r="Y326" s="996"/>
    </row>
    <row r="327" spans="1:25" x14ac:dyDescent="0.2">
      <c r="A327" s="995"/>
      <c r="B327" s="995"/>
      <c r="C327" s="995"/>
      <c r="D327" s="995"/>
      <c r="E327" s="995"/>
      <c r="P327" s="952"/>
      <c r="R327" s="996"/>
      <c r="S327" s="996"/>
      <c r="T327" s="996"/>
      <c r="U327" s="996"/>
      <c r="V327" s="996"/>
      <c r="W327" s="996"/>
      <c r="X327" s="996"/>
      <c r="Y327" s="996"/>
    </row>
    <row r="328" spans="1:25" x14ac:dyDescent="0.2">
      <c r="A328" s="995"/>
      <c r="B328" s="995"/>
      <c r="C328" s="995"/>
      <c r="D328" s="995"/>
      <c r="E328" s="995"/>
      <c r="P328" s="952"/>
      <c r="R328" s="996"/>
      <c r="S328" s="996"/>
      <c r="T328" s="996"/>
      <c r="U328" s="996"/>
      <c r="V328" s="996"/>
      <c r="W328" s="996"/>
      <c r="X328" s="996"/>
      <c r="Y328" s="996"/>
    </row>
    <row r="329" spans="1:25" x14ac:dyDescent="0.2">
      <c r="A329" s="995"/>
      <c r="B329" s="995"/>
      <c r="C329" s="995"/>
      <c r="D329" s="995"/>
      <c r="E329" s="995"/>
      <c r="P329" s="952"/>
      <c r="R329" s="996"/>
      <c r="S329" s="996"/>
      <c r="T329" s="996"/>
      <c r="U329" s="996"/>
      <c r="V329" s="996"/>
      <c r="W329" s="996"/>
      <c r="X329" s="996"/>
      <c r="Y329" s="996"/>
    </row>
    <row r="330" spans="1:25" x14ac:dyDescent="0.2">
      <c r="A330" s="995"/>
      <c r="B330" s="995"/>
      <c r="C330" s="995"/>
      <c r="D330" s="995"/>
      <c r="E330" s="995"/>
      <c r="P330" s="952"/>
      <c r="R330" s="996"/>
      <c r="S330" s="996"/>
      <c r="T330" s="996"/>
      <c r="U330" s="996"/>
      <c r="V330" s="996"/>
      <c r="W330" s="996"/>
      <c r="X330" s="996"/>
      <c r="Y330" s="996"/>
    </row>
    <row r="331" spans="1:25" x14ac:dyDescent="0.2">
      <c r="A331" s="995"/>
      <c r="B331" s="995"/>
      <c r="C331" s="995"/>
      <c r="D331" s="995"/>
      <c r="E331" s="995"/>
      <c r="P331" s="952"/>
      <c r="R331" s="996"/>
      <c r="S331" s="996"/>
      <c r="T331" s="996"/>
      <c r="U331" s="996"/>
      <c r="V331" s="996"/>
      <c r="W331" s="996"/>
      <c r="X331" s="996"/>
      <c r="Y331" s="996"/>
    </row>
    <row r="332" spans="1:25" x14ac:dyDescent="0.2">
      <c r="A332" s="995"/>
      <c r="B332" s="995"/>
      <c r="C332" s="995"/>
      <c r="D332" s="995"/>
      <c r="E332" s="995"/>
      <c r="P332" s="952"/>
      <c r="R332" s="996"/>
      <c r="S332" s="996"/>
      <c r="T332" s="996"/>
      <c r="U332" s="996"/>
      <c r="V332" s="996"/>
      <c r="W332" s="996"/>
      <c r="X332" s="996"/>
      <c r="Y332" s="996"/>
    </row>
    <row r="333" spans="1:25" x14ac:dyDescent="0.2">
      <c r="A333" s="995"/>
      <c r="B333" s="995"/>
      <c r="C333" s="995"/>
      <c r="D333" s="995"/>
      <c r="E333" s="995"/>
      <c r="P333" s="952"/>
      <c r="R333" s="996"/>
      <c r="S333" s="996"/>
      <c r="T333" s="996"/>
      <c r="U333" s="996"/>
      <c r="V333" s="996"/>
      <c r="W333" s="996"/>
      <c r="X333" s="996"/>
      <c r="Y333" s="996"/>
    </row>
    <row r="334" spans="1:25" x14ac:dyDescent="0.2">
      <c r="A334" s="995"/>
      <c r="B334" s="995"/>
      <c r="C334" s="995"/>
      <c r="D334" s="995"/>
      <c r="E334" s="995"/>
      <c r="P334" s="952"/>
      <c r="R334" s="996"/>
      <c r="S334" s="996"/>
      <c r="T334" s="996"/>
      <c r="U334" s="996"/>
      <c r="V334" s="996"/>
      <c r="W334" s="996"/>
      <c r="X334" s="996"/>
      <c r="Y334" s="996"/>
    </row>
    <row r="335" spans="1:25" x14ac:dyDescent="0.2">
      <c r="A335" s="995"/>
      <c r="B335" s="995"/>
      <c r="C335" s="995"/>
      <c r="D335" s="995"/>
      <c r="E335" s="995"/>
      <c r="P335" s="952"/>
      <c r="R335" s="996"/>
      <c r="S335" s="996"/>
      <c r="T335" s="996"/>
      <c r="U335" s="996"/>
      <c r="V335" s="996"/>
      <c r="W335" s="996"/>
      <c r="X335" s="996"/>
      <c r="Y335" s="996"/>
    </row>
    <row r="336" spans="1:25" x14ac:dyDescent="0.2">
      <c r="A336" s="995"/>
      <c r="B336" s="995"/>
      <c r="C336" s="995"/>
      <c r="D336" s="995"/>
      <c r="E336" s="995"/>
      <c r="P336" s="952"/>
      <c r="R336" s="996"/>
      <c r="S336" s="996"/>
      <c r="T336" s="996"/>
      <c r="U336" s="996"/>
      <c r="V336" s="996"/>
      <c r="W336" s="996"/>
      <c r="X336" s="996"/>
      <c r="Y336" s="996"/>
    </row>
    <row r="337" spans="1:25" x14ac:dyDescent="0.2">
      <c r="A337" s="995"/>
      <c r="B337" s="995"/>
      <c r="C337" s="995"/>
      <c r="D337" s="995"/>
      <c r="E337" s="995"/>
      <c r="P337" s="952"/>
      <c r="R337" s="996"/>
      <c r="S337" s="996"/>
      <c r="T337" s="996"/>
      <c r="U337" s="996"/>
      <c r="V337" s="996"/>
      <c r="W337" s="996"/>
      <c r="X337" s="996"/>
      <c r="Y337" s="996"/>
    </row>
    <row r="338" spans="1:25" x14ac:dyDescent="0.2">
      <c r="A338" s="995"/>
      <c r="B338" s="995"/>
      <c r="C338" s="995"/>
      <c r="D338" s="995"/>
      <c r="E338" s="995"/>
      <c r="P338" s="952"/>
      <c r="R338" s="996"/>
      <c r="S338" s="996"/>
      <c r="T338" s="996"/>
      <c r="U338" s="996"/>
      <c r="V338" s="996"/>
      <c r="W338" s="996"/>
      <c r="X338" s="996"/>
      <c r="Y338" s="996"/>
    </row>
    <row r="339" spans="1:25" x14ac:dyDescent="0.2">
      <c r="A339" s="995"/>
      <c r="B339" s="995"/>
      <c r="C339" s="995"/>
      <c r="D339" s="995"/>
      <c r="E339" s="995"/>
      <c r="P339" s="952"/>
      <c r="R339" s="996"/>
      <c r="S339" s="996"/>
      <c r="T339" s="996"/>
      <c r="U339" s="996"/>
      <c r="V339" s="996"/>
      <c r="W339" s="996"/>
      <c r="X339" s="996"/>
      <c r="Y339" s="996"/>
    </row>
    <row r="340" spans="1:25" x14ac:dyDescent="0.2">
      <c r="A340" s="995"/>
      <c r="B340" s="995"/>
      <c r="C340" s="995"/>
      <c r="D340" s="995"/>
      <c r="E340" s="995"/>
      <c r="P340" s="952"/>
      <c r="R340" s="996"/>
      <c r="S340" s="996"/>
      <c r="T340" s="996"/>
      <c r="U340" s="996"/>
      <c r="V340" s="996"/>
      <c r="W340" s="996"/>
      <c r="X340" s="996"/>
      <c r="Y340" s="996"/>
    </row>
    <row r="341" spans="1:25" x14ac:dyDescent="0.2">
      <c r="A341" s="995"/>
      <c r="B341" s="995"/>
      <c r="C341" s="995"/>
      <c r="D341" s="995"/>
      <c r="E341" s="995"/>
      <c r="P341" s="952"/>
      <c r="R341" s="996"/>
      <c r="S341" s="996"/>
      <c r="T341" s="996"/>
      <c r="U341" s="996"/>
      <c r="V341" s="996"/>
      <c r="W341" s="996"/>
      <c r="X341" s="996"/>
      <c r="Y341" s="996"/>
    </row>
    <row r="342" spans="1:25" x14ac:dyDescent="0.2">
      <c r="A342" s="995"/>
      <c r="B342" s="995"/>
      <c r="C342" s="995"/>
      <c r="D342" s="995"/>
      <c r="E342" s="995"/>
      <c r="P342" s="952"/>
      <c r="R342" s="996"/>
      <c r="S342" s="996"/>
      <c r="T342" s="996"/>
      <c r="U342" s="996"/>
      <c r="V342" s="996"/>
      <c r="W342" s="996"/>
      <c r="X342" s="996"/>
      <c r="Y342" s="996"/>
    </row>
    <row r="343" spans="1:25" x14ac:dyDescent="0.2">
      <c r="A343" s="995"/>
      <c r="B343" s="995"/>
      <c r="C343" s="995"/>
      <c r="D343" s="995"/>
      <c r="E343" s="995"/>
      <c r="R343" s="996"/>
      <c r="S343" s="996"/>
      <c r="T343" s="996"/>
      <c r="U343" s="996"/>
      <c r="V343" s="996"/>
      <c r="W343" s="996"/>
      <c r="X343" s="996"/>
      <c r="Y343" s="996"/>
    </row>
    <row r="344" spans="1:25" x14ac:dyDescent="0.2">
      <c r="A344" s="995"/>
      <c r="B344" s="995"/>
      <c r="C344" s="995"/>
      <c r="D344" s="995"/>
      <c r="E344" s="995"/>
      <c r="R344" s="996"/>
      <c r="S344" s="996"/>
      <c r="T344" s="996"/>
      <c r="U344" s="996"/>
      <c r="V344" s="996"/>
      <c r="W344" s="996"/>
      <c r="X344" s="996"/>
      <c r="Y344" s="996"/>
    </row>
    <row r="345" spans="1:25" x14ac:dyDescent="0.2">
      <c r="A345" s="995"/>
      <c r="B345" s="995"/>
      <c r="C345" s="995"/>
      <c r="D345" s="995"/>
      <c r="E345" s="995"/>
      <c r="R345" s="996"/>
      <c r="S345" s="996"/>
      <c r="T345" s="996"/>
      <c r="U345" s="996"/>
      <c r="V345" s="996"/>
      <c r="W345" s="996"/>
      <c r="X345" s="996"/>
      <c r="Y345" s="996"/>
    </row>
    <row r="346" spans="1:25" x14ac:dyDescent="0.2">
      <c r="A346" s="995"/>
      <c r="B346" s="995"/>
      <c r="C346" s="995"/>
      <c r="D346" s="995"/>
      <c r="E346" s="995"/>
      <c r="R346" s="996"/>
      <c r="S346" s="996"/>
      <c r="T346" s="996"/>
      <c r="U346" s="996"/>
      <c r="V346" s="996"/>
      <c r="W346" s="996"/>
      <c r="X346" s="996"/>
      <c r="Y346" s="996"/>
    </row>
    <row r="347" spans="1:25" x14ac:dyDescent="0.2">
      <c r="A347" s="995"/>
      <c r="B347" s="995"/>
      <c r="C347" s="995"/>
      <c r="D347" s="995"/>
      <c r="E347" s="995"/>
      <c r="R347" s="996"/>
      <c r="S347" s="996"/>
      <c r="T347" s="996"/>
      <c r="U347" s="996"/>
      <c r="V347" s="996"/>
      <c r="W347" s="996"/>
      <c r="X347" s="996"/>
      <c r="Y347" s="996"/>
    </row>
    <row r="348" spans="1:25" x14ac:dyDescent="0.2">
      <c r="A348" s="995"/>
      <c r="B348" s="995"/>
      <c r="C348" s="995"/>
      <c r="D348" s="995"/>
      <c r="E348" s="995"/>
      <c r="R348" s="996"/>
      <c r="S348" s="996"/>
      <c r="T348" s="996"/>
      <c r="U348" s="996"/>
      <c r="V348" s="996"/>
      <c r="W348" s="996"/>
      <c r="X348" s="996"/>
      <c r="Y348" s="996"/>
    </row>
    <row r="349" spans="1:25" x14ac:dyDescent="0.2">
      <c r="A349" s="995"/>
      <c r="B349" s="995"/>
      <c r="C349" s="995"/>
      <c r="D349" s="995"/>
      <c r="E349" s="995"/>
      <c r="R349" s="996"/>
      <c r="S349" s="996"/>
      <c r="T349" s="996"/>
      <c r="U349" s="996"/>
      <c r="V349" s="996"/>
      <c r="W349" s="996"/>
      <c r="X349" s="996"/>
      <c r="Y349" s="996"/>
    </row>
    <row r="350" spans="1:25" x14ac:dyDescent="0.2">
      <c r="A350" s="995"/>
      <c r="B350" s="995"/>
      <c r="C350" s="995"/>
      <c r="D350" s="995"/>
      <c r="E350" s="995"/>
      <c r="R350" s="996"/>
      <c r="S350" s="996"/>
      <c r="T350" s="996"/>
      <c r="U350" s="996"/>
      <c r="V350" s="996"/>
      <c r="W350" s="996"/>
      <c r="X350" s="996"/>
      <c r="Y350" s="996"/>
    </row>
    <row r="351" spans="1:25" x14ac:dyDescent="0.2">
      <c r="A351" s="995"/>
      <c r="B351" s="995"/>
      <c r="C351" s="995"/>
      <c r="D351" s="995"/>
      <c r="E351" s="995"/>
      <c r="R351" s="996"/>
      <c r="S351" s="996"/>
      <c r="T351" s="996"/>
      <c r="U351" s="996"/>
      <c r="V351" s="996"/>
      <c r="W351" s="996"/>
      <c r="X351" s="996"/>
      <c r="Y351" s="996"/>
    </row>
    <row r="352" spans="1:25" x14ac:dyDescent="0.2">
      <c r="A352" s="995"/>
      <c r="B352" s="995"/>
      <c r="C352" s="995"/>
      <c r="D352" s="995"/>
      <c r="E352" s="995"/>
      <c r="R352" s="996"/>
      <c r="S352" s="996"/>
      <c r="T352" s="996"/>
      <c r="U352" s="996"/>
      <c r="V352" s="996"/>
      <c r="W352" s="996"/>
      <c r="X352" s="996"/>
      <c r="Y352" s="996"/>
    </row>
    <row r="353" spans="1:25" x14ac:dyDescent="0.2">
      <c r="A353" s="995"/>
      <c r="B353" s="995"/>
      <c r="C353" s="995"/>
      <c r="D353" s="995"/>
      <c r="E353" s="995"/>
      <c r="R353" s="996"/>
      <c r="S353" s="996"/>
      <c r="T353" s="996"/>
      <c r="U353" s="996"/>
      <c r="V353" s="996"/>
      <c r="W353" s="996"/>
      <c r="X353" s="996"/>
      <c r="Y353" s="996"/>
    </row>
    <row r="354" spans="1:25" x14ac:dyDescent="0.2">
      <c r="A354" s="995"/>
      <c r="B354" s="995"/>
      <c r="C354" s="995"/>
      <c r="D354" s="995"/>
      <c r="E354" s="995"/>
      <c r="R354" s="996"/>
      <c r="S354" s="996"/>
      <c r="T354" s="996"/>
      <c r="U354" s="996"/>
      <c r="V354" s="996"/>
      <c r="W354" s="996"/>
      <c r="X354" s="996"/>
      <c r="Y354" s="996"/>
    </row>
    <row r="355" spans="1:25" x14ac:dyDescent="0.2">
      <c r="A355" s="995"/>
      <c r="B355" s="995"/>
      <c r="C355" s="995"/>
      <c r="D355" s="995"/>
      <c r="E355" s="995"/>
      <c r="R355" s="996"/>
      <c r="S355" s="996"/>
      <c r="T355" s="996"/>
      <c r="U355" s="996"/>
      <c r="V355" s="996"/>
      <c r="W355" s="996"/>
      <c r="X355" s="996"/>
      <c r="Y355" s="996"/>
    </row>
    <row r="356" spans="1:25" x14ac:dyDescent="0.2">
      <c r="A356" s="995"/>
      <c r="B356" s="995"/>
      <c r="C356" s="995"/>
      <c r="D356" s="995"/>
      <c r="E356" s="995"/>
      <c r="R356" s="996"/>
      <c r="S356" s="996"/>
      <c r="T356" s="996"/>
      <c r="U356" s="996"/>
      <c r="V356" s="996"/>
      <c r="W356" s="996"/>
      <c r="X356" s="996"/>
      <c r="Y356" s="996"/>
    </row>
    <row r="357" spans="1:25" x14ac:dyDescent="0.2">
      <c r="A357" s="995"/>
      <c r="B357" s="995"/>
      <c r="C357" s="995"/>
      <c r="D357" s="995"/>
      <c r="E357" s="995"/>
      <c r="P357" s="998"/>
      <c r="R357" s="996"/>
      <c r="S357" s="996"/>
      <c r="T357" s="996"/>
      <c r="U357" s="996"/>
      <c r="V357" s="996"/>
      <c r="W357" s="996"/>
      <c r="X357" s="996"/>
      <c r="Y357" s="996"/>
    </row>
    <row r="358" spans="1:25" x14ac:dyDescent="0.2">
      <c r="A358" s="995"/>
      <c r="B358" s="995"/>
      <c r="C358" s="995"/>
      <c r="D358" s="995"/>
      <c r="E358" s="995"/>
      <c r="R358" s="996"/>
      <c r="S358" s="996"/>
      <c r="T358" s="996"/>
      <c r="U358" s="996"/>
      <c r="V358" s="996"/>
      <c r="W358" s="996"/>
      <c r="X358" s="996"/>
      <c r="Y358" s="996"/>
    </row>
    <row r="359" spans="1:25" x14ac:dyDescent="0.2">
      <c r="A359" s="995"/>
      <c r="B359" s="995"/>
      <c r="C359" s="995"/>
      <c r="D359" s="995"/>
      <c r="E359" s="995"/>
      <c r="R359" s="996"/>
      <c r="S359" s="996"/>
      <c r="T359" s="996"/>
      <c r="U359" s="996"/>
      <c r="V359" s="996"/>
      <c r="W359" s="996"/>
      <c r="X359" s="996"/>
      <c r="Y359" s="996"/>
    </row>
    <row r="360" spans="1:25" x14ac:dyDescent="0.2">
      <c r="A360" s="995"/>
      <c r="B360" s="995"/>
      <c r="C360" s="995"/>
      <c r="D360" s="995"/>
      <c r="E360" s="995"/>
      <c r="R360" s="996"/>
      <c r="S360" s="996"/>
      <c r="T360" s="996"/>
      <c r="U360" s="996"/>
      <c r="V360" s="996"/>
      <c r="W360" s="996"/>
      <c r="X360" s="996"/>
      <c r="Y360" s="996"/>
    </row>
    <row r="361" spans="1:25" x14ac:dyDescent="0.2">
      <c r="A361" s="995"/>
      <c r="B361" s="995"/>
      <c r="C361" s="995"/>
      <c r="D361" s="995"/>
      <c r="E361" s="995"/>
      <c r="R361" s="996"/>
      <c r="S361" s="996"/>
      <c r="T361" s="996"/>
      <c r="U361" s="996"/>
      <c r="V361" s="996"/>
      <c r="W361" s="996"/>
      <c r="X361" s="996"/>
      <c r="Y361" s="996"/>
    </row>
    <row r="362" spans="1:25" x14ac:dyDescent="0.2">
      <c r="A362" s="995"/>
      <c r="B362" s="995"/>
      <c r="C362" s="995"/>
      <c r="D362" s="995"/>
      <c r="E362" s="995"/>
      <c r="R362" s="996"/>
      <c r="S362" s="996"/>
      <c r="T362" s="996"/>
      <c r="U362" s="996"/>
      <c r="V362" s="996"/>
      <c r="W362" s="996"/>
      <c r="X362" s="996"/>
      <c r="Y362" s="996"/>
    </row>
    <row r="363" spans="1:25" x14ac:dyDescent="0.2">
      <c r="A363" s="995"/>
      <c r="B363" s="995"/>
      <c r="C363" s="995"/>
      <c r="D363" s="995"/>
      <c r="E363" s="995"/>
      <c r="R363" s="996"/>
      <c r="S363" s="996"/>
      <c r="T363" s="996"/>
      <c r="U363" s="996"/>
      <c r="V363" s="996"/>
      <c r="W363" s="996"/>
      <c r="X363" s="996"/>
      <c r="Y363" s="996"/>
    </row>
    <row r="364" spans="1:25" x14ac:dyDescent="0.2">
      <c r="A364" s="995"/>
      <c r="B364" s="995"/>
      <c r="C364" s="995"/>
      <c r="D364" s="995"/>
      <c r="E364" s="995"/>
      <c r="R364" s="996"/>
      <c r="S364" s="996"/>
      <c r="T364" s="996"/>
      <c r="U364" s="996"/>
      <c r="V364" s="996"/>
      <c r="W364" s="996"/>
      <c r="X364" s="996"/>
      <c r="Y364" s="996"/>
    </row>
    <row r="365" spans="1:25" x14ac:dyDescent="0.2">
      <c r="A365" s="995"/>
      <c r="B365" s="995"/>
      <c r="C365" s="995"/>
      <c r="D365" s="995"/>
      <c r="E365" s="995"/>
      <c r="R365" s="996"/>
      <c r="S365" s="996"/>
      <c r="T365" s="996"/>
      <c r="U365" s="996"/>
      <c r="V365" s="996"/>
      <c r="W365" s="996"/>
      <c r="X365" s="996"/>
      <c r="Y365" s="996"/>
    </row>
    <row r="366" spans="1:25" x14ac:dyDescent="0.2">
      <c r="A366" s="995"/>
      <c r="B366" s="995"/>
      <c r="C366" s="995"/>
      <c r="D366" s="995"/>
      <c r="E366" s="995"/>
      <c r="P366" s="998"/>
      <c r="R366" s="996"/>
      <c r="S366" s="996"/>
      <c r="T366" s="996"/>
      <c r="U366" s="996"/>
      <c r="V366" s="996"/>
      <c r="W366" s="996"/>
      <c r="X366" s="996"/>
      <c r="Y366" s="996"/>
    </row>
    <row r="367" spans="1:25" x14ac:dyDescent="0.2">
      <c r="A367" s="995"/>
      <c r="B367" s="995"/>
      <c r="C367" s="995"/>
      <c r="D367" s="995"/>
      <c r="E367" s="995"/>
      <c r="R367" s="996"/>
      <c r="S367" s="996"/>
      <c r="T367" s="996"/>
      <c r="U367" s="996"/>
      <c r="V367" s="996"/>
      <c r="W367" s="996"/>
      <c r="X367" s="996"/>
      <c r="Y367" s="996"/>
    </row>
    <row r="368" spans="1:25" x14ac:dyDescent="0.2">
      <c r="A368" s="995"/>
      <c r="B368" s="995"/>
      <c r="C368" s="995"/>
      <c r="D368" s="995"/>
      <c r="E368" s="995"/>
      <c r="R368" s="996"/>
      <c r="S368" s="996"/>
      <c r="T368" s="996"/>
      <c r="U368" s="996"/>
      <c r="V368" s="996"/>
      <c r="W368" s="996"/>
      <c r="X368" s="996"/>
      <c r="Y368" s="996"/>
    </row>
    <row r="369" spans="1:25" x14ac:dyDescent="0.2">
      <c r="A369" s="995"/>
      <c r="B369" s="995"/>
      <c r="C369" s="995"/>
      <c r="D369" s="995"/>
      <c r="E369" s="995"/>
      <c r="R369" s="996"/>
      <c r="S369" s="996"/>
      <c r="T369" s="996"/>
      <c r="U369" s="996"/>
      <c r="V369" s="996"/>
      <c r="W369" s="996"/>
      <c r="X369" s="996"/>
      <c r="Y369" s="996"/>
    </row>
    <row r="370" spans="1:25" x14ac:dyDescent="0.2">
      <c r="A370" s="995"/>
      <c r="B370" s="995"/>
      <c r="C370" s="995"/>
      <c r="D370" s="995"/>
      <c r="E370" s="995"/>
      <c r="R370" s="996"/>
      <c r="S370" s="996"/>
      <c r="T370" s="996"/>
      <c r="U370" s="996"/>
      <c r="V370" s="996"/>
      <c r="W370" s="996"/>
      <c r="X370" s="996"/>
      <c r="Y370" s="996"/>
    </row>
    <row r="371" spans="1:25" x14ac:dyDescent="0.2">
      <c r="A371" s="995"/>
      <c r="B371" s="995"/>
      <c r="C371" s="995"/>
      <c r="D371" s="995"/>
      <c r="E371" s="995"/>
      <c r="R371" s="996"/>
      <c r="S371" s="996"/>
      <c r="T371" s="996"/>
      <c r="U371" s="996"/>
      <c r="V371" s="996"/>
      <c r="W371" s="996"/>
      <c r="X371" s="996"/>
      <c r="Y371" s="996"/>
    </row>
    <row r="372" spans="1:25" x14ac:dyDescent="0.2">
      <c r="A372" s="995"/>
      <c r="B372" s="995"/>
      <c r="C372" s="995"/>
      <c r="D372" s="995"/>
      <c r="E372" s="995"/>
      <c r="R372" s="996"/>
      <c r="S372" s="996"/>
      <c r="T372" s="996"/>
      <c r="U372" s="996"/>
      <c r="V372" s="996"/>
      <c r="W372" s="996"/>
      <c r="X372" s="996"/>
      <c r="Y372" s="996"/>
    </row>
    <row r="373" spans="1:25" x14ac:dyDescent="0.2">
      <c r="A373" s="995"/>
      <c r="B373" s="995"/>
      <c r="C373" s="995"/>
      <c r="D373" s="995"/>
      <c r="E373" s="995"/>
      <c r="R373" s="996"/>
      <c r="S373" s="996"/>
      <c r="T373" s="996"/>
      <c r="U373" s="996"/>
      <c r="V373" s="996"/>
      <c r="W373" s="996"/>
      <c r="X373" s="996"/>
      <c r="Y373" s="996"/>
    </row>
    <row r="374" spans="1:25" x14ac:dyDescent="0.2">
      <c r="A374" s="995"/>
      <c r="B374" s="995"/>
      <c r="C374" s="995"/>
      <c r="D374" s="995"/>
      <c r="E374" s="995"/>
      <c r="R374" s="996"/>
      <c r="S374" s="996"/>
      <c r="T374" s="996"/>
      <c r="U374" s="996"/>
      <c r="V374" s="996"/>
      <c r="W374" s="996"/>
      <c r="X374" s="996"/>
      <c r="Y374" s="996"/>
    </row>
    <row r="375" spans="1:25" x14ac:dyDescent="0.2">
      <c r="A375" s="995"/>
      <c r="B375" s="995"/>
      <c r="C375" s="995"/>
      <c r="D375" s="995"/>
      <c r="E375" s="995"/>
      <c r="R375" s="996"/>
      <c r="S375" s="996"/>
      <c r="T375" s="996"/>
      <c r="U375" s="996"/>
      <c r="V375" s="996"/>
      <c r="W375" s="996"/>
      <c r="X375" s="996"/>
      <c r="Y375" s="996"/>
    </row>
    <row r="376" spans="1:25" x14ac:dyDescent="0.2">
      <c r="A376" s="995"/>
      <c r="B376" s="995"/>
      <c r="C376" s="995"/>
      <c r="D376" s="995"/>
      <c r="E376" s="995"/>
      <c r="R376" s="996"/>
      <c r="S376" s="996"/>
      <c r="T376" s="996"/>
      <c r="U376" s="996"/>
      <c r="V376" s="996"/>
      <c r="W376" s="996"/>
      <c r="X376" s="996"/>
      <c r="Y376" s="996"/>
    </row>
    <row r="377" spans="1:25" x14ac:dyDescent="0.2">
      <c r="A377" s="995"/>
      <c r="B377" s="995"/>
      <c r="C377" s="995"/>
      <c r="D377" s="995"/>
      <c r="E377" s="995"/>
      <c r="R377" s="996"/>
      <c r="S377" s="996"/>
      <c r="T377" s="996"/>
      <c r="U377" s="996"/>
      <c r="V377" s="996"/>
      <c r="W377" s="996"/>
      <c r="X377" s="996"/>
      <c r="Y377" s="996"/>
    </row>
    <row r="378" spans="1:25" x14ac:dyDescent="0.2">
      <c r="A378" s="995"/>
      <c r="B378" s="995"/>
      <c r="C378" s="995"/>
      <c r="D378" s="995"/>
      <c r="E378" s="995"/>
      <c r="R378" s="996"/>
      <c r="S378" s="996"/>
      <c r="T378" s="996"/>
      <c r="U378" s="996"/>
      <c r="V378" s="996"/>
      <c r="W378" s="996"/>
      <c r="X378" s="996"/>
      <c r="Y378" s="996"/>
    </row>
    <row r="379" spans="1:25" x14ac:dyDescent="0.2">
      <c r="A379" s="995"/>
      <c r="B379" s="995"/>
      <c r="C379" s="995"/>
      <c r="D379" s="995"/>
      <c r="E379" s="995"/>
      <c r="R379" s="996"/>
      <c r="S379" s="996"/>
      <c r="T379" s="996"/>
      <c r="U379" s="996"/>
      <c r="V379" s="996"/>
      <c r="W379" s="996"/>
      <c r="X379" s="996"/>
      <c r="Y379" s="996"/>
    </row>
    <row r="380" spans="1:25" x14ac:dyDescent="0.2">
      <c r="A380" s="995"/>
      <c r="B380" s="995"/>
      <c r="C380" s="995"/>
      <c r="D380" s="995"/>
      <c r="E380" s="995"/>
      <c r="R380" s="996"/>
      <c r="S380" s="996"/>
      <c r="T380" s="996"/>
      <c r="U380" s="996"/>
      <c r="V380" s="996"/>
      <c r="W380" s="996"/>
      <c r="X380" s="996"/>
      <c r="Y380" s="996"/>
    </row>
    <row r="381" spans="1:25" x14ac:dyDescent="0.2">
      <c r="A381" s="995"/>
      <c r="B381" s="995"/>
      <c r="C381" s="995"/>
      <c r="D381" s="995"/>
      <c r="E381" s="995"/>
      <c r="R381" s="996"/>
      <c r="S381" s="996"/>
      <c r="T381" s="996"/>
      <c r="U381" s="996"/>
      <c r="V381" s="996"/>
      <c r="W381" s="996"/>
      <c r="X381" s="996"/>
      <c r="Y381" s="996"/>
    </row>
    <row r="382" spans="1:25" x14ac:dyDescent="0.2">
      <c r="A382" s="995"/>
      <c r="B382" s="995"/>
      <c r="C382" s="995"/>
      <c r="D382" s="995"/>
      <c r="E382" s="995"/>
      <c r="R382" s="996"/>
      <c r="S382" s="996"/>
      <c r="T382" s="996"/>
      <c r="U382" s="996"/>
      <c r="V382" s="996"/>
      <c r="W382" s="996"/>
      <c r="X382" s="996"/>
      <c r="Y382" s="996"/>
    </row>
    <row r="383" spans="1:25" x14ac:dyDescent="0.2">
      <c r="A383" s="995"/>
      <c r="B383" s="995"/>
      <c r="C383" s="995"/>
      <c r="D383" s="995"/>
      <c r="E383" s="995"/>
      <c r="R383" s="996"/>
      <c r="S383" s="996"/>
      <c r="T383" s="996"/>
      <c r="U383" s="996"/>
      <c r="V383" s="996"/>
      <c r="W383" s="996"/>
      <c r="X383" s="996"/>
      <c r="Y383" s="996"/>
    </row>
    <row r="384" spans="1:25" x14ac:dyDescent="0.2">
      <c r="A384" s="995"/>
      <c r="B384" s="995"/>
      <c r="C384" s="995"/>
      <c r="D384" s="995"/>
      <c r="E384" s="995"/>
      <c r="R384" s="996"/>
      <c r="S384" s="996"/>
      <c r="T384" s="996"/>
      <c r="U384" s="996"/>
      <c r="V384" s="996"/>
      <c r="W384" s="996"/>
      <c r="X384" s="996"/>
      <c r="Y384" s="996"/>
    </row>
    <row r="385" spans="1:25" x14ac:dyDescent="0.2">
      <c r="A385" s="995"/>
      <c r="B385" s="995"/>
      <c r="C385" s="995"/>
      <c r="D385" s="995"/>
      <c r="E385" s="995"/>
      <c r="P385" s="998"/>
      <c r="R385" s="996"/>
      <c r="S385" s="996"/>
      <c r="T385" s="996"/>
      <c r="U385" s="996"/>
      <c r="V385" s="996"/>
      <c r="W385" s="996"/>
      <c r="X385" s="996"/>
      <c r="Y385" s="996"/>
    </row>
    <row r="386" spans="1:25" x14ac:dyDescent="0.2">
      <c r="A386" s="995"/>
      <c r="B386" s="995"/>
      <c r="C386" s="995"/>
      <c r="D386" s="995"/>
      <c r="E386" s="995"/>
      <c r="R386" s="996"/>
      <c r="S386" s="996"/>
      <c r="T386" s="996"/>
      <c r="U386" s="996"/>
      <c r="V386" s="996"/>
      <c r="W386" s="996"/>
      <c r="X386" s="996"/>
      <c r="Y386" s="996"/>
    </row>
    <row r="387" spans="1:25" x14ac:dyDescent="0.2">
      <c r="A387" s="995"/>
      <c r="B387" s="995"/>
      <c r="C387" s="995"/>
      <c r="D387" s="995"/>
      <c r="E387" s="995"/>
      <c r="R387" s="996"/>
      <c r="S387" s="996"/>
      <c r="T387" s="996"/>
      <c r="U387" s="996"/>
      <c r="V387" s="996"/>
      <c r="W387" s="996"/>
      <c r="X387" s="996"/>
      <c r="Y387" s="996"/>
    </row>
    <row r="388" spans="1:25" x14ac:dyDescent="0.2">
      <c r="A388" s="995"/>
      <c r="B388" s="995"/>
      <c r="C388" s="995"/>
      <c r="D388" s="995"/>
      <c r="E388" s="995"/>
      <c r="R388" s="996"/>
      <c r="S388" s="996"/>
      <c r="T388" s="996"/>
      <c r="U388" s="996"/>
      <c r="V388" s="996"/>
      <c r="W388" s="996"/>
      <c r="X388" s="996"/>
      <c r="Y388" s="996"/>
    </row>
    <row r="389" spans="1:25" x14ac:dyDescent="0.2">
      <c r="A389" s="995"/>
      <c r="B389" s="995"/>
      <c r="C389" s="995"/>
      <c r="D389" s="995"/>
      <c r="E389" s="995"/>
      <c r="P389" s="998"/>
      <c r="R389" s="996"/>
      <c r="S389" s="996"/>
      <c r="T389" s="996"/>
      <c r="U389" s="996"/>
      <c r="V389" s="996"/>
      <c r="W389" s="996"/>
      <c r="X389" s="996"/>
      <c r="Y389" s="996"/>
    </row>
    <row r="390" spans="1:25" x14ac:dyDescent="0.2">
      <c r="A390" s="995"/>
      <c r="B390" s="995"/>
      <c r="C390" s="995"/>
      <c r="D390" s="995"/>
      <c r="E390" s="995"/>
      <c r="R390" s="996"/>
      <c r="S390" s="996"/>
      <c r="T390" s="996"/>
      <c r="U390" s="996"/>
      <c r="V390" s="996"/>
      <c r="W390" s="996"/>
      <c r="X390" s="996"/>
      <c r="Y390" s="996"/>
    </row>
    <row r="391" spans="1:25" x14ac:dyDescent="0.2">
      <c r="A391" s="995"/>
      <c r="B391" s="995"/>
      <c r="C391" s="995"/>
      <c r="D391" s="995"/>
      <c r="E391" s="995"/>
      <c r="R391" s="996"/>
      <c r="S391" s="996"/>
      <c r="T391" s="996"/>
      <c r="U391" s="996"/>
      <c r="V391" s="996"/>
      <c r="W391" s="996"/>
      <c r="X391" s="996"/>
      <c r="Y391" s="996"/>
    </row>
    <row r="392" spans="1:25" x14ac:dyDescent="0.2">
      <c r="A392" s="995"/>
      <c r="B392" s="995"/>
      <c r="C392" s="995"/>
      <c r="D392" s="995"/>
      <c r="E392" s="995"/>
      <c r="R392" s="996"/>
      <c r="S392" s="996"/>
      <c r="T392" s="996"/>
      <c r="U392" s="996"/>
      <c r="V392" s="996"/>
      <c r="W392" s="996"/>
      <c r="X392" s="996"/>
      <c r="Y392" s="996"/>
    </row>
    <row r="393" spans="1:25" x14ac:dyDescent="0.2">
      <c r="A393" s="995"/>
      <c r="B393" s="995"/>
      <c r="C393" s="995"/>
      <c r="D393" s="995"/>
      <c r="E393" s="995"/>
      <c r="R393" s="996"/>
      <c r="S393" s="996"/>
      <c r="T393" s="996"/>
      <c r="U393" s="996"/>
      <c r="V393" s="996"/>
      <c r="W393" s="996"/>
      <c r="X393" s="996"/>
      <c r="Y393" s="996"/>
    </row>
    <row r="394" spans="1:25" x14ac:dyDescent="0.2">
      <c r="A394" s="995"/>
      <c r="B394" s="995"/>
      <c r="C394" s="995"/>
      <c r="D394" s="995"/>
      <c r="E394" s="995"/>
      <c r="R394" s="996"/>
      <c r="S394" s="996"/>
      <c r="T394" s="996"/>
      <c r="U394" s="996"/>
      <c r="V394" s="996"/>
      <c r="W394" s="996"/>
      <c r="X394" s="996"/>
      <c r="Y394" s="996"/>
    </row>
    <row r="395" spans="1:25" x14ac:dyDescent="0.2">
      <c r="A395" s="995"/>
      <c r="B395" s="995"/>
      <c r="C395" s="995"/>
      <c r="D395" s="995"/>
      <c r="E395" s="995"/>
      <c r="R395" s="996"/>
      <c r="S395" s="996"/>
      <c r="T395" s="996"/>
      <c r="U395" s="996"/>
      <c r="V395" s="996"/>
      <c r="W395" s="996"/>
      <c r="X395" s="996"/>
      <c r="Y395" s="996"/>
    </row>
    <row r="396" spans="1:25" x14ac:dyDescent="0.2">
      <c r="A396" s="995"/>
      <c r="B396" s="995"/>
      <c r="C396" s="995"/>
      <c r="D396" s="995"/>
      <c r="E396" s="995"/>
      <c r="R396" s="996"/>
      <c r="S396" s="996"/>
      <c r="T396" s="996"/>
      <c r="U396" s="996"/>
      <c r="V396" s="996"/>
      <c r="W396" s="996"/>
      <c r="X396" s="996"/>
      <c r="Y396" s="996"/>
    </row>
    <row r="397" spans="1:25" x14ac:dyDescent="0.2">
      <c r="A397" s="995"/>
      <c r="B397" s="995"/>
      <c r="C397" s="995"/>
      <c r="D397" s="995"/>
      <c r="E397" s="995"/>
      <c r="R397" s="996"/>
      <c r="S397" s="996"/>
      <c r="T397" s="996"/>
      <c r="U397" s="996"/>
      <c r="V397" s="996"/>
      <c r="W397" s="996"/>
      <c r="X397" s="996"/>
      <c r="Y397" s="996"/>
    </row>
    <row r="398" spans="1:25" x14ac:dyDescent="0.2">
      <c r="A398" s="995"/>
      <c r="B398" s="995"/>
      <c r="C398" s="995"/>
      <c r="D398" s="995"/>
      <c r="E398" s="995"/>
      <c r="R398" s="996"/>
      <c r="S398" s="996"/>
      <c r="T398" s="996"/>
      <c r="U398" s="996"/>
      <c r="V398" s="996"/>
      <c r="W398" s="996"/>
      <c r="X398" s="996"/>
      <c r="Y398" s="996"/>
    </row>
    <row r="399" spans="1:25" x14ac:dyDescent="0.2">
      <c r="A399" s="995"/>
      <c r="B399" s="995"/>
      <c r="C399" s="995"/>
      <c r="D399" s="995"/>
      <c r="E399" s="995"/>
      <c r="R399" s="996"/>
      <c r="S399" s="996"/>
      <c r="T399" s="996"/>
      <c r="U399" s="996"/>
      <c r="V399" s="996"/>
      <c r="W399" s="996"/>
      <c r="X399" s="996"/>
      <c r="Y399" s="996"/>
    </row>
    <row r="400" spans="1:25" x14ac:dyDescent="0.2">
      <c r="A400" s="995"/>
      <c r="B400" s="995"/>
      <c r="C400" s="995"/>
      <c r="D400" s="995"/>
      <c r="E400" s="995"/>
      <c r="R400" s="996"/>
      <c r="S400" s="996"/>
      <c r="T400" s="996"/>
      <c r="U400" s="996"/>
      <c r="V400" s="996"/>
      <c r="W400" s="996"/>
      <c r="X400" s="996"/>
      <c r="Y400" s="996"/>
    </row>
    <row r="401" spans="1:25" x14ac:dyDescent="0.2">
      <c r="A401" s="995"/>
      <c r="B401" s="995"/>
      <c r="C401" s="995"/>
      <c r="D401" s="995"/>
      <c r="E401" s="995"/>
      <c r="R401" s="996"/>
      <c r="S401" s="996"/>
      <c r="T401" s="996"/>
      <c r="U401" s="996"/>
      <c r="V401" s="996"/>
      <c r="W401" s="996"/>
      <c r="X401" s="996"/>
      <c r="Y401" s="996"/>
    </row>
    <row r="402" spans="1:25" x14ac:dyDescent="0.2">
      <c r="A402" s="995"/>
      <c r="B402" s="995"/>
      <c r="C402" s="995"/>
      <c r="D402" s="995"/>
      <c r="E402" s="995"/>
      <c r="R402" s="996"/>
      <c r="S402" s="996"/>
      <c r="T402" s="996"/>
      <c r="U402" s="996"/>
      <c r="V402" s="996"/>
      <c r="W402" s="996"/>
      <c r="X402" s="996"/>
      <c r="Y402" s="996"/>
    </row>
    <row r="403" spans="1:25" x14ac:dyDescent="0.2">
      <c r="A403" s="995"/>
      <c r="B403" s="995"/>
      <c r="C403" s="995"/>
      <c r="D403" s="995"/>
      <c r="E403" s="995"/>
      <c r="R403" s="996"/>
      <c r="S403" s="996"/>
      <c r="T403" s="996"/>
      <c r="U403" s="996"/>
      <c r="V403" s="996"/>
      <c r="W403" s="996"/>
      <c r="X403" s="996"/>
      <c r="Y403" s="996"/>
    </row>
    <row r="404" spans="1:25" x14ac:dyDescent="0.2">
      <c r="A404" s="995"/>
      <c r="B404" s="995"/>
      <c r="C404" s="995"/>
      <c r="D404" s="995"/>
      <c r="E404" s="995"/>
      <c r="R404" s="996"/>
      <c r="S404" s="996"/>
      <c r="T404" s="996"/>
      <c r="U404" s="996"/>
      <c r="V404" s="996"/>
      <c r="W404" s="996"/>
      <c r="X404" s="996"/>
      <c r="Y404" s="996"/>
    </row>
    <row r="405" spans="1:25" x14ac:dyDescent="0.2">
      <c r="A405" s="995"/>
      <c r="B405" s="995"/>
      <c r="C405" s="995"/>
      <c r="D405" s="995"/>
      <c r="E405" s="995"/>
      <c r="R405" s="996"/>
      <c r="S405" s="996"/>
      <c r="T405" s="996"/>
      <c r="U405" s="996"/>
      <c r="V405" s="996"/>
      <c r="W405" s="996"/>
      <c r="X405" s="996"/>
      <c r="Y405" s="996"/>
    </row>
    <row r="406" spans="1:25" x14ac:dyDescent="0.2">
      <c r="A406" s="995"/>
      <c r="B406" s="995"/>
      <c r="C406" s="995"/>
      <c r="D406" s="995"/>
      <c r="E406" s="995"/>
      <c r="R406" s="996"/>
      <c r="S406" s="996"/>
      <c r="T406" s="996"/>
      <c r="U406" s="996"/>
      <c r="V406" s="996"/>
      <c r="W406" s="996"/>
      <c r="X406" s="996"/>
      <c r="Y406" s="996"/>
    </row>
    <row r="407" spans="1:25" x14ac:dyDescent="0.2">
      <c r="A407" s="995"/>
      <c r="B407" s="995"/>
      <c r="C407" s="995"/>
      <c r="D407" s="995"/>
      <c r="E407" s="995"/>
      <c r="R407" s="996"/>
      <c r="S407" s="996"/>
      <c r="T407" s="996"/>
      <c r="U407" s="996"/>
      <c r="V407" s="996"/>
      <c r="W407" s="996"/>
      <c r="X407" s="996"/>
      <c r="Y407" s="996"/>
    </row>
    <row r="408" spans="1:25" x14ac:dyDescent="0.2">
      <c r="A408" s="995"/>
      <c r="B408" s="995"/>
      <c r="C408" s="995"/>
      <c r="D408" s="995"/>
      <c r="E408" s="995"/>
      <c r="R408" s="996"/>
      <c r="S408" s="996"/>
      <c r="T408" s="996"/>
      <c r="U408" s="996"/>
      <c r="V408" s="996"/>
      <c r="W408" s="996"/>
      <c r="X408" s="996"/>
      <c r="Y408" s="996"/>
    </row>
    <row r="409" spans="1:25" x14ac:dyDescent="0.2">
      <c r="A409" s="995"/>
      <c r="B409" s="995"/>
      <c r="C409" s="995"/>
      <c r="D409" s="995"/>
      <c r="E409" s="995"/>
      <c r="R409" s="996"/>
      <c r="S409" s="996"/>
      <c r="T409" s="996"/>
      <c r="U409" s="996"/>
      <c r="V409" s="996"/>
      <c r="W409" s="996"/>
      <c r="X409" s="996"/>
      <c r="Y409" s="996"/>
    </row>
    <row r="410" spans="1:25" x14ac:dyDescent="0.2">
      <c r="A410" s="995"/>
      <c r="B410" s="995"/>
      <c r="C410" s="995"/>
      <c r="D410" s="995"/>
      <c r="E410" s="995"/>
      <c r="R410" s="996"/>
      <c r="S410" s="996"/>
      <c r="T410" s="996"/>
      <c r="U410" s="996"/>
      <c r="V410" s="996"/>
      <c r="W410" s="996"/>
      <c r="X410" s="996"/>
      <c r="Y410" s="996"/>
    </row>
    <row r="411" spans="1:25" x14ac:dyDescent="0.2">
      <c r="A411" s="995"/>
      <c r="B411" s="995"/>
      <c r="C411" s="995"/>
      <c r="D411" s="995"/>
      <c r="E411" s="995"/>
      <c r="R411" s="996"/>
      <c r="S411" s="996"/>
      <c r="T411" s="996"/>
      <c r="U411" s="996"/>
      <c r="V411" s="996"/>
      <c r="W411" s="996"/>
      <c r="X411" s="996"/>
      <c r="Y411" s="996"/>
    </row>
    <row r="412" spans="1:25" x14ac:dyDescent="0.2">
      <c r="A412" s="995"/>
      <c r="B412" s="995"/>
      <c r="C412" s="995"/>
      <c r="D412" s="995"/>
      <c r="E412" s="995"/>
      <c r="R412" s="996"/>
      <c r="S412" s="996"/>
      <c r="T412" s="996"/>
      <c r="U412" s="996"/>
      <c r="V412" s="996"/>
      <c r="W412" s="996"/>
      <c r="X412" s="996"/>
      <c r="Y412" s="996"/>
    </row>
    <row r="413" spans="1:25" x14ac:dyDescent="0.2">
      <c r="A413" s="995"/>
      <c r="B413" s="995"/>
      <c r="C413" s="995"/>
      <c r="D413" s="995"/>
      <c r="E413" s="995"/>
      <c r="R413" s="996"/>
      <c r="S413" s="996"/>
      <c r="T413" s="996"/>
      <c r="U413" s="996"/>
      <c r="V413" s="996"/>
      <c r="W413" s="996"/>
      <c r="X413" s="996"/>
      <c r="Y413" s="996"/>
    </row>
    <row r="414" spans="1:25" x14ac:dyDescent="0.2">
      <c r="A414" s="995"/>
      <c r="B414" s="995"/>
      <c r="C414" s="995"/>
      <c r="D414" s="995"/>
      <c r="E414" s="995"/>
      <c r="R414" s="996"/>
      <c r="S414" s="996"/>
      <c r="T414" s="996"/>
      <c r="U414" s="996"/>
      <c r="V414" s="996"/>
      <c r="W414" s="996"/>
      <c r="X414" s="996"/>
      <c r="Y414" s="996"/>
    </row>
    <row r="415" spans="1:25" x14ac:dyDescent="0.2">
      <c r="A415" s="995"/>
      <c r="B415" s="995"/>
      <c r="C415" s="995"/>
      <c r="D415" s="995"/>
      <c r="E415" s="995"/>
      <c r="R415" s="996"/>
      <c r="S415" s="996"/>
      <c r="T415" s="996"/>
      <c r="U415" s="996"/>
      <c r="V415" s="996"/>
      <c r="W415" s="996"/>
      <c r="X415" s="996"/>
      <c r="Y415" s="996"/>
    </row>
    <row r="416" spans="1:25" x14ac:dyDescent="0.2">
      <c r="A416" s="995"/>
      <c r="B416" s="995"/>
      <c r="C416" s="995"/>
      <c r="D416" s="995"/>
      <c r="E416" s="995"/>
      <c r="R416" s="996"/>
      <c r="S416" s="996"/>
      <c r="T416" s="996"/>
      <c r="U416" s="996"/>
      <c r="V416" s="996"/>
      <c r="W416" s="996"/>
      <c r="X416" s="996"/>
      <c r="Y416" s="996"/>
    </row>
    <row r="417" spans="1:25" x14ac:dyDescent="0.2">
      <c r="A417" s="995"/>
      <c r="B417" s="995"/>
      <c r="C417" s="995"/>
      <c r="D417" s="995"/>
      <c r="E417" s="995"/>
      <c r="R417" s="996"/>
      <c r="S417" s="996"/>
      <c r="T417" s="996"/>
      <c r="U417" s="996"/>
      <c r="V417" s="996"/>
      <c r="W417" s="996"/>
      <c r="X417" s="996"/>
      <c r="Y417" s="996"/>
    </row>
    <row r="418" spans="1:25" x14ac:dyDescent="0.2">
      <c r="A418" s="995"/>
      <c r="B418" s="995"/>
      <c r="C418" s="995"/>
      <c r="D418" s="995"/>
      <c r="E418" s="995"/>
      <c r="R418" s="996"/>
      <c r="S418" s="996"/>
      <c r="T418" s="996"/>
      <c r="U418" s="996"/>
      <c r="V418" s="996"/>
      <c r="W418" s="996"/>
      <c r="X418" s="996"/>
      <c r="Y418" s="996"/>
    </row>
    <row r="419" spans="1:25" x14ac:dyDescent="0.2">
      <c r="A419" s="995"/>
      <c r="B419" s="995"/>
      <c r="C419" s="995"/>
      <c r="D419" s="995"/>
      <c r="E419" s="995"/>
      <c r="R419" s="996"/>
      <c r="S419" s="996"/>
      <c r="T419" s="996"/>
      <c r="U419" s="996"/>
      <c r="V419" s="996"/>
      <c r="W419" s="996"/>
      <c r="X419" s="996"/>
      <c r="Y419" s="996"/>
    </row>
    <row r="420" spans="1:25" x14ac:dyDescent="0.2">
      <c r="A420" s="995"/>
      <c r="B420" s="995"/>
      <c r="C420" s="995"/>
      <c r="D420" s="995"/>
      <c r="E420" s="995"/>
      <c r="R420" s="996"/>
      <c r="S420" s="996"/>
      <c r="T420" s="996"/>
      <c r="U420" s="996"/>
      <c r="V420" s="996"/>
      <c r="W420" s="996"/>
      <c r="X420" s="996"/>
      <c r="Y420" s="996"/>
    </row>
    <row r="421" spans="1:25" x14ac:dyDescent="0.2">
      <c r="A421" s="995"/>
      <c r="B421" s="995"/>
      <c r="C421" s="995"/>
      <c r="D421" s="995"/>
      <c r="E421" s="995"/>
      <c r="R421" s="996"/>
      <c r="S421" s="996"/>
      <c r="T421" s="996"/>
      <c r="U421" s="996"/>
      <c r="V421" s="996"/>
      <c r="W421" s="996"/>
      <c r="X421" s="996"/>
      <c r="Y421" s="996"/>
    </row>
    <row r="422" spans="1:25" x14ac:dyDescent="0.2">
      <c r="A422" s="995"/>
      <c r="B422" s="995"/>
      <c r="C422" s="995"/>
      <c r="D422" s="995"/>
      <c r="E422" s="995"/>
      <c r="R422" s="996"/>
      <c r="S422" s="996"/>
      <c r="T422" s="996"/>
      <c r="U422" s="996"/>
      <c r="V422" s="996"/>
      <c r="W422" s="996"/>
      <c r="X422" s="996"/>
      <c r="Y422" s="996"/>
    </row>
    <row r="423" spans="1:25" x14ac:dyDescent="0.2">
      <c r="A423" s="995"/>
      <c r="B423" s="995"/>
      <c r="C423" s="995"/>
      <c r="D423" s="995"/>
      <c r="E423" s="995"/>
      <c r="R423" s="996"/>
      <c r="S423" s="996"/>
      <c r="T423" s="996"/>
      <c r="U423" s="996"/>
      <c r="V423" s="996"/>
      <c r="W423" s="996"/>
      <c r="X423" s="996"/>
      <c r="Y423" s="996"/>
    </row>
    <row r="424" spans="1:25" x14ac:dyDescent="0.2">
      <c r="A424" s="995"/>
      <c r="B424" s="995"/>
      <c r="C424" s="995"/>
      <c r="D424" s="995"/>
      <c r="E424" s="995"/>
      <c r="R424" s="996"/>
      <c r="S424" s="996"/>
      <c r="T424" s="996"/>
      <c r="U424" s="996"/>
      <c r="V424" s="996"/>
      <c r="W424" s="996"/>
      <c r="X424" s="996"/>
      <c r="Y424" s="996"/>
    </row>
    <row r="425" spans="1:25" x14ac:dyDescent="0.2">
      <c r="A425" s="995"/>
      <c r="B425" s="995"/>
      <c r="C425" s="995"/>
      <c r="D425" s="995"/>
      <c r="E425" s="995"/>
      <c r="R425" s="996"/>
      <c r="S425" s="996"/>
      <c r="T425" s="996"/>
      <c r="U425" s="996"/>
      <c r="V425" s="996"/>
      <c r="W425" s="996"/>
      <c r="X425" s="996"/>
      <c r="Y425" s="996"/>
    </row>
    <row r="426" spans="1:25" x14ac:dyDescent="0.2">
      <c r="A426" s="995"/>
      <c r="B426" s="995"/>
      <c r="C426" s="995"/>
      <c r="D426" s="995"/>
      <c r="E426" s="995"/>
      <c r="R426" s="996"/>
      <c r="S426" s="996"/>
      <c r="T426" s="996"/>
      <c r="U426" s="996"/>
      <c r="V426" s="996"/>
      <c r="W426" s="996"/>
      <c r="X426" s="996"/>
      <c r="Y426" s="996"/>
    </row>
    <row r="427" spans="1:25" x14ac:dyDescent="0.2">
      <c r="A427" s="995"/>
      <c r="B427" s="995"/>
      <c r="C427" s="995"/>
      <c r="D427" s="995"/>
      <c r="E427" s="995"/>
      <c r="R427" s="996"/>
      <c r="S427" s="996"/>
      <c r="T427" s="996"/>
      <c r="U427" s="996"/>
      <c r="V427" s="996"/>
      <c r="W427" s="996"/>
      <c r="X427" s="996"/>
      <c r="Y427" s="996"/>
    </row>
    <row r="428" spans="1:25" x14ac:dyDescent="0.2">
      <c r="A428" s="995"/>
      <c r="B428" s="995"/>
      <c r="C428" s="995"/>
      <c r="D428" s="995"/>
      <c r="E428" s="995"/>
      <c r="R428" s="996"/>
      <c r="S428" s="996"/>
      <c r="T428" s="996"/>
      <c r="U428" s="996"/>
      <c r="V428" s="996"/>
      <c r="W428" s="996"/>
      <c r="X428" s="996"/>
      <c r="Y428" s="996"/>
    </row>
    <row r="429" spans="1:25" x14ac:dyDescent="0.2">
      <c r="A429" s="995"/>
      <c r="B429" s="995"/>
      <c r="C429" s="995"/>
      <c r="D429" s="995"/>
      <c r="E429" s="995"/>
      <c r="R429" s="996"/>
      <c r="S429" s="996"/>
      <c r="T429" s="996"/>
      <c r="U429" s="996"/>
      <c r="V429" s="996"/>
      <c r="W429" s="996"/>
      <c r="X429" s="996"/>
      <c r="Y429" s="996"/>
    </row>
    <row r="430" spans="1:25" x14ac:dyDescent="0.2">
      <c r="A430" s="995"/>
      <c r="B430" s="995"/>
      <c r="C430" s="995"/>
      <c r="D430" s="995"/>
      <c r="E430" s="995"/>
      <c r="R430" s="996"/>
      <c r="S430" s="996"/>
      <c r="T430" s="996"/>
      <c r="U430" s="996"/>
      <c r="V430" s="996"/>
      <c r="W430" s="996"/>
      <c r="X430" s="996"/>
      <c r="Y430" s="996"/>
    </row>
    <row r="431" spans="1:25" x14ac:dyDescent="0.2">
      <c r="A431" s="995"/>
      <c r="B431" s="995"/>
      <c r="C431" s="995"/>
      <c r="D431" s="995"/>
      <c r="E431" s="995"/>
      <c r="R431" s="996"/>
      <c r="S431" s="996"/>
      <c r="T431" s="996"/>
      <c r="U431" s="996"/>
      <c r="V431" s="996"/>
      <c r="W431" s="996"/>
      <c r="X431" s="996"/>
      <c r="Y431" s="996"/>
    </row>
    <row r="432" spans="1:25" x14ac:dyDescent="0.2">
      <c r="A432" s="995"/>
      <c r="B432" s="995"/>
      <c r="C432" s="995"/>
      <c r="D432" s="995"/>
      <c r="E432" s="995"/>
      <c r="R432" s="996"/>
      <c r="S432" s="996"/>
      <c r="T432" s="996"/>
      <c r="U432" s="996"/>
      <c r="V432" s="996"/>
      <c r="W432" s="996"/>
      <c r="X432" s="996"/>
      <c r="Y432" s="996"/>
    </row>
    <row r="433" spans="1:25" x14ac:dyDescent="0.2">
      <c r="A433" s="995"/>
      <c r="B433" s="995"/>
      <c r="C433" s="995"/>
      <c r="D433" s="995"/>
      <c r="E433" s="995"/>
      <c r="R433" s="996"/>
      <c r="S433" s="996"/>
      <c r="T433" s="996"/>
      <c r="U433" s="996"/>
      <c r="V433" s="996"/>
      <c r="W433" s="996"/>
      <c r="X433" s="996"/>
      <c r="Y433" s="996"/>
    </row>
    <row r="434" spans="1:25" x14ac:dyDescent="0.2">
      <c r="A434" s="995"/>
      <c r="B434" s="995"/>
      <c r="C434" s="995"/>
      <c r="D434" s="995"/>
      <c r="E434" s="995"/>
      <c r="R434" s="996"/>
      <c r="S434" s="996"/>
      <c r="T434" s="996"/>
      <c r="U434" s="996"/>
      <c r="V434" s="996"/>
      <c r="W434" s="996"/>
      <c r="X434" s="996"/>
      <c r="Y434" s="996"/>
    </row>
    <row r="435" spans="1:25" x14ac:dyDescent="0.2">
      <c r="A435" s="995"/>
      <c r="B435" s="995"/>
      <c r="C435" s="995"/>
      <c r="D435" s="995"/>
      <c r="E435" s="995"/>
      <c r="R435" s="996"/>
      <c r="S435" s="996"/>
      <c r="T435" s="996"/>
      <c r="U435" s="996"/>
      <c r="V435" s="996"/>
      <c r="W435" s="996"/>
      <c r="X435" s="996"/>
      <c r="Y435" s="996"/>
    </row>
    <row r="436" spans="1:25" x14ac:dyDescent="0.2">
      <c r="A436" s="995"/>
      <c r="B436" s="995"/>
      <c r="C436" s="995"/>
      <c r="D436" s="995"/>
      <c r="E436" s="995"/>
      <c r="R436" s="996"/>
      <c r="S436" s="996"/>
      <c r="T436" s="996"/>
      <c r="U436" s="996"/>
      <c r="V436" s="996"/>
      <c r="W436" s="996"/>
      <c r="X436" s="996"/>
      <c r="Y436" s="996"/>
    </row>
    <row r="437" spans="1:25" x14ac:dyDescent="0.2">
      <c r="A437" s="995"/>
      <c r="B437" s="995"/>
      <c r="C437" s="995"/>
      <c r="D437" s="995"/>
      <c r="E437" s="995"/>
      <c r="R437" s="996"/>
      <c r="S437" s="996"/>
      <c r="T437" s="996"/>
      <c r="U437" s="996"/>
      <c r="V437" s="996"/>
      <c r="W437" s="996"/>
      <c r="X437" s="996"/>
      <c r="Y437" s="996"/>
    </row>
    <row r="438" spans="1:25" x14ac:dyDescent="0.2">
      <c r="A438" s="995"/>
      <c r="B438" s="995"/>
      <c r="C438" s="995"/>
      <c r="D438" s="995"/>
      <c r="E438" s="995"/>
      <c r="R438" s="996"/>
      <c r="S438" s="996"/>
      <c r="T438" s="996"/>
      <c r="U438" s="996"/>
      <c r="V438" s="996"/>
      <c r="W438" s="996"/>
      <c r="X438" s="996"/>
      <c r="Y438" s="996"/>
    </row>
    <row r="439" spans="1:25" x14ac:dyDescent="0.2">
      <c r="A439" s="995"/>
      <c r="B439" s="995"/>
      <c r="C439" s="995"/>
      <c r="D439" s="995"/>
      <c r="E439" s="995"/>
      <c r="R439" s="996"/>
      <c r="S439" s="996"/>
      <c r="T439" s="996"/>
      <c r="U439" s="996"/>
      <c r="V439" s="996"/>
      <c r="W439" s="996"/>
      <c r="X439" s="996"/>
      <c r="Y439" s="996"/>
    </row>
    <row r="440" spans="1:25" x14ac:dyDescent="0.2">
      <c r="A440" s="995"/>
      <c r="B440" s="995"/>
      <c r="C440" s="995"/>
      <c r="D440" s="995"/>
      <c r="E440" s="995"/>
      <c r="R440" s="996"/>
      <c r="S440" s="996"/>
      <c r="T440" s="996"/>
      <c r="U440" s="996"/>
      <c r="V440" s="996"/>
      <c r="W440" s="996"/>
      <c r="X440" s="996"/>
      <c r="Y440" s="996"/>
    </row>
    <row r="441" spans="1:25" x14ac:dyDescent="0.2">
      <c r="A441" s="995"/>
      <c r="B441" s="995"/>
      <c r="C441" s="995"/>
      <c r="D441" s="995"/>
      <c r="E441" s="995"/>
      <c r="R441" s="996"/>
      <c r="S441" s="996"/>
      <c r="T441" s="996"/>
      <c r="U441" s="996"/>
      <c r="V441" s="996"/>
      <c r="W441" s="996"/>
      <c r="X441" s="996"/>
      <c r="Y441" s="996"/>
    </row>
    <row r="442" spans="1:25" x14ac:dyDescent="0.2">
      <c r="A442" s="995"/>
      <c r="B442" s="995"/>
      <c r="C442" s="995"/>
      <c r="D442" s="995"/>
      <c r="E442" s="995"/>
      <c r="R442" s="996"/>
      <c r="S442" s="996"/>
      <c r="T442" s="996"/>
      <c r="U442" s="996"/>
      <c r="V442" s="996"/>
      <c r="W442" s="996"/>
      <c r="X442" s="996"/>
      <c r="Y442" s="996"/>
    </row>
    <row r="443" spans="1:25" x14ac:dyDescent="0.2">
      <c r="A443" s="995"/>
      <c r="B443" s="995"/>
      <c r="C443" s="995"/>
      <c r="D443" s="995"/>
      <c r="E443" s="995"/>
      <c r="R443" s="996"/>
      <c r="S443" s="996"/>
      <c r="T443" s="996"/>
      <c r="U443" s="996"/>
      <c r="V443" s="996"/>
      <c r="W443" s="996"/>
      <c r="X443" s="996"/>
      <c r="Y443" s="996"/>
    </row>
    <row r="444" spans="1:25" x14ac:dyDescent="0.2">
      <c r="A444" s="995"/>
      <c r="B444" s="995"/>
      <c r="C444" s="995"/>
      <c r="D444" s="995"/>
      <c r="E444" s="995"/>
      <c r="R444" s="996"/>
      <c r="S444" s="996"/>
      <c r="T444" s="996"/>
      <c r="U444" s="996"/>
      <c r="V444" s="996"/>
      <c r="W444" s="996"/>
      <c r="X444" s="996"/>
      <c r="Y444" s="996"/>
    </row>
    <row r="445" spans="1:25" x14ac:dyDescent="0.2">
      <c r="A445" s="995"/>
      <c r="B445" s="995"/>
      <c r="C445" s="995"/>
      <c r="D445" s="995"/>
      <c r="E445" s="995"/>
      <c r="R445" s="996"/>
      <c r="S445" s="996"/>
      <c r="T445" s="996"/>
      <c r="U445" s="996"/>
      <c r="V445" s="996"/>
      <c r="W445" s="996"/>
      <c r="X445" s="996"/>
      <c r="Y445" s="996"/>
    </row>
    <row r="446" spans="1:25" x14ac:dyDescent="0.2">
      <c r="A446" s="995"/>
      <c r="B446" s="995"/>
      <c r="C446" s="995"/>
      <c r="D446" s="995"/>
      <c r="E446" s="995"/>
      <c r="R446" s="996"/>
      <c r="S446" s="996"/>
      <c r="T446" s="996"/>
      <c r="U446" s="996"/>
      <c r="V446" s="996"/>
      <c r="W446" s="996"/>
      <c r="X446" s="996"/>
      <c r="Y446" s="996"/>
    </row>
    <row r="447" spans="1:25" x14ac:dyDescent="0.2">
      <c r="A447" s="995"/>
      <c r="B447" s="995"/>
      <c r="C447" s="995"/>
      <c r="D447" s="995"/>
      <c r="E447" s="995"/>
      <c r="R447" s="996"/>
      <c r="S447" s="996"/>
      <c r="T447" s="996"/>
      <c r="U447" s="996"/>
      <c r="V447" s="996"/>
      <c r="W447" s="996"/>
      <c r="X447" s="996"/>
      <c r="Y447" s="996"/>
    </row>
    <row r="448" spans="1:25" x14ac:dyDescent="0.2">
      <c r="A448" s="995"/>
      <c r="B448" s="995"/>
      <c r="C448" s="995"/>
      <c r="D448" s="995"/>
      <c r="E448" s="995"/>
      <c r="R448" s="996"/>
      <c r="S448" s="996"/>
      <c r="T448" s="996"/>
      <c r="U448" s="996"/>
      <c r="V448" s="996"/>
      <c r="W448" s="996"/>
      <c r="X448" s="996"/>
      <c r="Y448" s="996"/>
    </row>
    <row r="449" spans="1:25" x14ac:dyDescent="0.2">
      <c r="A449" s="995"/>
      <c r="B449" s="995"/>
      <c r="C449" s="995"/>
      <c r="D449" s="995"/>
      <c r="E449" s="995"/>
      <c r="R449" s="996"/>
      <c r="S449" s="996"/>
      <c r="T449" s="996"/>
      <c r="U449" s="996"/>
      <c r="V449" s="996"/>
      <c r="W449" s="996"/>
      <c r="X449" s="996"/>
      <c r="Y449" s="996"/>
    </row>
    <row r="450" spans="1:25" x14ac:dyDescent="0.2">
      <c r="A450" s="995"/>
      <c r="B450" s="995"/>
      <c r="C450" s="995"/>
      <c r="D450" s="995"/>
      <c r="E450" s="995"/>
      <c r="R450" s="996"/>
      <c r="S450" s="996"/>
      <c r="T450" s="996"/>
      <c r="U450" s="996"/>
      <c r="V450" s="996"/>
      <c r="W450" s="996"/>
      <c r="X450" s="996"/>
      <c r="Y450" s="996"/>
    </row>
    <row r="451" spans="1:25" x14ac:dyDescent="0.2">
      <c r="A451" s="995"/>
      <c r="B451" s="995"/>
      <c r="C451" s="995"/>
      <c r="D451" s="995"/>
      <c r="E451" s="995"/>
      <c r="R451" s="996"/>
      <c r="S451" s="996"/>
      <c r="T451" s="996"/>
      <c r="U451" s="996"/>
      <c r="V451" s="996"/>
      <c r="W451" s="996"/>
      <c r="X451" s="996"/>
      <c r="Y451" s="996"/>
    </row>
    <row r="452" spans="1:25" x14ac:dyDescent="0.2">
      <c r="A452" s="995"/>
      <c r="B452" s="995"/>
      <c r="C452" s="995"/>
      <c r="D452" s="995"/>
      <c r="E452" s="995"/>
      <c r="R452" s="996"/>
      <c r="S452" s="996"/>
      <c r="T452" s="996"/>
      <c r="U452" s="996"/>
      <c r="V452" s="996"/>
      <c r="W452" s="996"/>
      <c r="X452" s="996"/>
      <c r="Y452" s="996"/>
    </row>
    <row r="453" spans="1:25" x14ac:dyDescent="0.2">
      <c r="A453" s="995"/>
      <c r="B453" s="995"/>
      <c r="C453" s="995"/>
      <c r="D453" s="995"/>
      <c r="E453" s="995"/>
      <c r="R453" s="996"/>
      <c r="S453" s="996"/>
      <c r="T453" s="996"/>
      <c r="U453" s="996"/>
      <c r="V453" s="996"/>
      <c r="W453" s="996"/>
      <c r="X453" s="996"/>
      <c r="Y453" s="996"/>
    </row>
    <row r="454" spans="1:25" x14ac:dyDescent="0.2">
      <c r="A454" s="995"/>
      <c r="B454" s="995"/>
      <c r="C454" s="995"/>
      <c r="D454" s="995"/>
      <c r="E454" s="995"/>
      <c r="R454" s="996"/>
      <c r="S454" s="996"/>
      <c r="T454" s="996"/>
      <c r="U454" s="996"/>
      <c r="V454" s="996"/>
      <c r="W454" s="996"/>
      <c r="X454" s="996"/>
      <c r="Y454" s="996"/>
    </row>
    <row r="455" spans="1:25" x14ac:dyDescent="0.2">
      <c r="A455" s="995"/>
      <c r="B455" s="995"/>
      <c r="C455" s="995"/>
      <c r="D455" s="995"/>
      <c r="E455" s="995"/>
      <c r="R455" s="996"/>
      <c r="S455" s="996"/>
      <c r="T455" s="996"/>
      <c r="U455" s="996"/>
      <c r="V455" s="996"/>
      <c r="W455" s="996"/>
      <c r="X455" s="996"/>
      <c r="Y455" s="996"/>
    </row>
    <row r="456" spans="1:25" x14ac:dyDescent="0.2">
      <c r="A456" s="995"/>
      <c r="B456" s="995"/>
      <c r="C456" s="995"/>
      <c r="D456" s="995"/>
      <c r="E456" s="995"/>
      <c r="R456" s="996"/>
      <c r="S456" s="996"/>
      <c r="T456" s="996"/>
      <c r="U456" s="996"/>
      <c r="V456" s="996"/>
      <c r="W456" s="996"/>
      <c r="X456" s="996"/>
      <c r="Y456" s="996"/>
    </row>
    <row r="457" spans="1:25" x14ac:dyDescent="0.2">
      <c r="A457" s="995"/>
      <c r="B457" s="995"/>
      <c r="C457" s="995"/>
      <c r="D457" s="995"/>
      <c r="E457" s="995"/>
      <c r="R457" s="996"/>
      <c r="S457" s="996"/>
      <c r="T457" s="996"/>
      <c r="U457" s="996"/>
      <c r="V457" s="996"/>
      <c r="W457" s="996"/>
      <c r="X457" s="996"/>
      <c r="Y457" s="996"/>
    </row>
    <row r="458" spans="1:25" x14ac:dyDescent="0.2">
      <c r="A458" s="995"/>
      <c r="B458" s="995"/>
      <c r="C458" s="995"/>
      <c r="D458" s="995"/>
      <c r="E458" s="995"/>
      <c r="R458" s="996"/>
      <c r="S458" s="996"/>
      <c r="T458" s="996"/>
      <c r="U458" s="996"/>
      <c r="V458" s="996"/>
      <c r="W458" s="996"/>
      <c r="X458" s="996"/>
      <c r="Y458" s="996"/>
    </row>
    <row r="459" spans="1:25" x14ac:dyDescent="0.2">
      <c r="A459" s="995"/>
      <c r="B459" s="995"/>
      <c r="C459" s="995"/>
      <c r="D459" s="995"/>
      <c r="E459" s="995"/>
      <c r="R459" s="996"/>
      <c r="S459" s="996"/>
      <c r="T459" s="996"/>
      <c r="U459" s="996"/>
      <c r="V459" s="996"/>
      <c r="W459" s="996"/>
      <c r="X459" s="996"/>
      <c r="Y459" s="996"/>
    </row>
    <row r="460" spans="1:25" x14ac:dyDescent="0.2">
      <c r="A460" s="995"/>
      <c r="B460" s="995"/>
      <c r="C460" s="995"/>
      <c r="D460" s="995"/>
      <c r="E460" s="995"/>
      <c r="R460" s="996"/>
      <c r="S460" s="996"/>
      <c r="T460" s="996"/>
      <c r="U460" s="996"/>
      <c r="V460" s="996"/>
      <c r="W460" s="996"/>
      <c r="X460" s="996"/>
      <c r="Y460" s="996"/>
    </row>
    <row r="461" spans="1:25" x14ac:dyDescent="0.2">
      <c r="A461" s="995"/>
      <c r="B461" s="995"/>
      <c r="C461" s="995"/>
      <c r="D461" s="995"/>
      <c r="E461" s="995"/>
      <c r="R461" s="996"/>
      <c r="S461" s="996"/>
      <c r="T461" s="996"/>
      <c r="U461" s="996"/>
      <c r="V461" s="996"/>
      <c r="W461" s="996"/>
      <c r="X461" s="996"/>
      <c r="Y461" s="996"/>
    </row>
    <row r="462" spans="1:25" x14ac:dyDescent="0.2">
      <c r="A462" s="995"/>
      <c r="B462" s="995"/>
      <c r="C462" s="995"/>
      <c r="D462" s="995"/>
      <c r="E462" s="995"/>
      <c r="R462" s="996"/>
      <c r="S462" s="996"/>
      <c r="T462" s="996"/>
      <c r="U462" s="996"/>
      <c r="V462" s="996"/>
      <c r="W462" s="996"/>
      <c r="X462" s="996"/>
      <c r="Y462" s="996"/>
    </row>
    <row r="463" spans="1:25" x14ac:dyDescent="0.2">
      <c r="A463" s="995"/>
      <c r="B463" s="995"/>
      <c r="C463" s="995"/>
      <c r="D463" s="995"/>
      <c r="E463" s="995"/>
      <c r="R463" s="996"/>
      <c r="S463" s="996"/>
      <c r="T463" s="996"/>
      <c r="U463" s="996"/>
      <c r="V463" s="996"/>
      <c r="W463" s="996"/>
      <c r="X463" s="996"/>
      <c r="Y463" s="996"/>
    </row>
    <row r="464" spans="1:25" x14ac:dyDescent="0.2">
      <c r="A464" s="995"/>
      <c r="B464" s="995"/>
      <c r="C464" s="995"/>
      <c r="D464" s="995"/>
      <c r="E464" s="995"/>
      <c r="R464" s="996"/>
      <c r="S464" s="996"/>
      <c r="T464" s="996"/>
      <c r="U464" s="996"/>
      <c r="V464" s="996"/>
      <c r="W464" s="996"/>
      <c r="X464" s="996"/>
      <c r="Y464" s="996"/>
    </row>
    <row r="465" spans="1:25" x14ac:dyDescent="0.2">
      <c r="A465" s="995"/>
      <c r="B465" s="995"/>
      <c r="C465" s="995"/>
      <c r="D465" s="995"/>
      <c r="E465" s="995"/>
      <c r="R465" s="996"/>
      <c r="S465" s="996"/>
      <c r="T465" s="996"/>
      <c r="U465" s="996"/>
      <c r="V465" s="996"/>
      <c r="W465" s="996"/>
      <c r="X465" s="996"/>
      <c r="Y465" s="996"/>
    </row>
    <row r="466" spans="1:25" x14ac:dyDescent="0.2">
      <c r="A466" s="995"/>
      <c r="B466" s="995"/>
      <c r="C466" s="995"/>
      <c r="D466" s="995"/>
      <c r="E466" s="995"/>
      <c r="R466" s="996"/>
      <c r="S466" s="996"/>
      <c r="T466" s="996"/>
      <c r="U466" s="996"/>
      <c r="V466" s="996"/>
      <c r="W466" s="996"/>
      <c r="X466" s="996"/>
      <c r="Y466" s="996"/>
    </row>
    <row r="467" spans="1:25" x14ac:dyDescent="0.2">
      <c r="A467" s="995"/>
      <c r="B467" s="995"/>
      <c r="C467" s="995"/>
      <c r="D467" s="995"/>
      <c r="E467" s="995"/>
      <c r="R467" s="996"/>
      <c r="S467" s="996"/>
      <c r="T467" s="996"/>
      <c r="U467" s="996"/>
      <c r="V467" s="996"/>
      <c r="W467" s="996"/>
      <c r="X467" s="996"/>
      <c r="Y467" s="996"/>
    </row>
    <row r="468" spans="1:25" x14ac:dyDescent="0.2">
      <c r="A468" s="995"/>
      <c r="B468" s="995"/>
      <c r="C468" s="995"/>
      <c r="D468" s="995"/>
      <c r="E468" s="995"/>
      <c r="R468" s="996"/>
      <c r="S468" s="996"/>
      <c r="T468" s="996"/>
      <c r="U468" s="996"/>
      <c r="V468" s="996"/>
      <c r="W468" s="996"/>
      <c r="X468" s="996"/>
      <c r="Y468" s="996"/>
    </row>
    <row r="469" spans="1:25" x14ac:dyDescent="0.2">
      <c r="A469" s="995"/>
      <c r="B469" s="995"/>
      <c r="C469" s="995"/>
      <c r="D469" s="995"/>
      <c r="E469" s="995"/>
      <c r="R469" s="996"/>
      <c r="S469" s="996"/>
      <c r="T469" s="996"/>
      <c r="U469" s="996"/>
      <c r="V469" s="996"/>
      <c r="W469" s="996"/>
      <c r="X469" s="996"/>
      <c r="Y469" s="996"/>
    </row>
    <row r="470" spans="1:25" x14ac:dyDescent="0.2">
      <c r="A470" s="995"/>
      <c r="B470" s="995"/>
      <c r="C470" s="995"/>
      <c r="D470" s="995"/>
      <c r="E470" s="995"/>
      <c r="R470" s="996"/>
      <c r="S470" s="996"/>
      <c r="T470" s="996"/>
      <c r="U470" s="996"/>
      <c r="V470" s="996"/>
      <c r="W470" s="996"/>
      <c r="X470" s="996"/>
      <c r="Y470" s="996"/>
    </row>
    <row r="471" spans="1:25" x14ac:dyDescent="0.2">
      <c r="A471" s="995"/>
      <c r="B471" s="995"/>
      <c r="C471" s="995"/>
      <c r="D471" s="995"/>
      <c r="E471" s="995"/>
      <c r="R471" s="996"/>
      <c r="S471" s="996"/>
      <c r="T471" s="996"/>
      <c r="U471" s="996"/>
      <c r="V471" s="996"/>
      <c r="W471" s="996"/>
      <c r="X471" s="996"/>
      <c r="Y471" s="996"/>
    </row>
    <row r="472" spans="1:25" x14ac:dyDescent="0.2">
      <c r="A472" s="995"/>
      <c r="B472" s="995"/>
      <c r="C472" s="995"/>
      <c r="D472" s="995"/>
      <c r="E472" s="995"/>
      <c r="R472" s="996"/>
      <c r="S472" s="996"/>
      <c r="T472" s="996"/>
      <c r="U472" s="996"/>
      <c r="V472" s="996"/>
      <c r="W472" s="996"/>
      <c r="X472" s="996"/>
      <c r="Y472" s="996"/>
    </row>
    <row r="473" spans="1:25" x14ac:dyDescent="0.2">
      <c r="A473" s="995"/>
      <c r="B473" s="995"/>
      <c r="C473" s="995"/>
      <c r="D473" s="995"/>
      <c r="E473" s="995"/>
      <c r="R473" s="996"/>
      <c r="S473" s="996"/>
      <c r="T473" s="996"/>
      <c r="U473" s="996"/>
      <c r="V473" s="996"/>
      <c r="W473" s="996"/>
      <c r="X473" s="996"/>
      <c r="Y473" s="996"/>
    </row>
    <row r="474" spans="1:25" x14ac:dyDescent="0.2">
      <c r="A474" s="995"/>
      <c r="B474" s="995"/>
      <c r="C474" s="995"/>
      <c r="D474" s="995"/>
      <c r="E474" s="995"/>
      <c r="R474" s="996"/>
      <c r="S474" s="996"/>
      <c r="T474" s="996"/>
      <c r="U474" s="996"/>
      <c r="V474" s="996"/>
      <c r="W474" s="996"/>
      <c r="X474" s="996"/>
      <c r="Y474" s="996"/>
    </row>
    <row r="475" spans="1:25" x14ac:dyDescent="0.2">
      <c r="A475" s="995"/>
      <c r="B475" s="995"/>
      <c r="C475" s="995"/>
      <c r="D475" s="995"/>
      <c r="E475" s="995"/>
      <c r="R475" s="996"/>
      <c r="S475" s="996"/>
      <c r="T475" s="996"/>
      <c r="U475" s="996"/>
      <c r="V475" s="996"/>
      <c r="W475" s="996"/>
      <c r="X475" s="996"/>
      <c r="Y475" s="996"/>
    </row>
    <row r="476" spans="1:25" x14ac:dyDescent="0.2">
      <c r="A476" s="995"/>
      <c r="B476" s="995"/>
      <c r="C476" s="995"/>
      <c r="D476" s="995"/>
      <c r="E476" s="995"/>
      <c r="R476" s="996"/>
      <c r="S476" s="996"/>
      <c r="T476" s="996"/>
      <c r="U476" s="996"/>
      <c r="V476" s="996"/>
      <c r="W476" s="996"/>
      <c r="X476" s="996"/>
      <c r="Y476" s="996"/>
    </row>
    <row r="477" spans="1:25" x14ac:dyDescent="0.2">
      <c r="A477" s="995"/>
      <c r="B477" s="995"/>
      <c r="C477" s="995"/>
      <c r="D477" s="995"/>
      <c r="E477" s="995"/>
      <c r="R477" s="996"/>
      <c r="S477" s="996"/>
      <c r="T477" s="996"/>
      <c r="U477" s="996"/>
      <c r="V477" s="996"/>
      <c r="W477" s="996"/>
      <c r="X477" s="996"/>
      <c r="Y477" s="996"/>
    </row>
    <row r="478" spans="1:25" x14ac:dyDescent="0.2">
      <c r="A478" s="995"/>
      <c r="B478" s="995"/>
      <c r="C478" s="995"/>
      <c r="D478" s="995"/>
      <c r="E478" s="995"/>
      <c r="R478" s="996"/>
      <c r="S478" s="996"/>
      <c r="T478" s="996"/>
      <c r="U478" s="996"/>
      <c r="V478" s="996"/>
      <c r="W478" s="996"/>
      <c r="X478" s="996"/>
      <c r="Y478" s="996"/>
    </row>
    <row r="479" spans="1:25" x14ac:dyDescent="0.2">
      <c r="A479" s="995"/>
      <c r="B479" s="995"/>
      <c r="C479" s="995"/>
      <c r="D479" s="995"/>
      <c r="E479" s="995"/>
      <c r="R479" s="996"/>
      <c r="S479" s="996"/>
      <c r="T479" s="996"/>
      <c r="U479" s="996"/>
      <c r="V479" s="996"/>
      <c r="W479" s="996"/>
      <c r="X479" s="996"/>
      <c r="Y479" s="996"/>
    </row>
    <row r="480" spans="1:25" x14ac:dyDescent="0.2">
      <c r="A480" s="995"/>
      <c r="B480" s="995"/>
      <c r="C480" s="995"/>
      <c r="D480" s="995"/>
      <c r="E480" s="995"/>
      <c r="R480" s="996"/>
      <c r="S480" s="996"/>
      <c r="T480" s="996"/>
      <c r="U480" s="996"/>
      <c r="V480" s="996"/>
      <c r="W480" s="996"/>
      <c r="X480" s="996"/>
      <c r="Y480" s="996"/>
    </row>
    <row r="481" spans="1:25" x14ac:dyDescent="0.2">
      <c r="A481" s="995"/>
      <c r="B481" s="995"/>
      <c r="C481" s="995"/>
      <c r="D481" s="995"/>
      <c r="E481" s="995"/>
      <c r="R481" s="996"/>
      <c r="S481" s="996"/>
      <c r="T481" s="996"/>
      <c r="U481" s="996"/>
      <c r="V481" s="996"/>
      <c r="W481" s="996"/>
      <c r="X481" s="996"/>
      <c r="Y481" s="996"/>
    </row>
    <row r="482" spans="1:25" x14ac:dyDescent="0.2">
      <c r="A482" s="995"/>
      <c r="B482" s="995"/>
      <c r="C482" s="995"/>
      <c r="D482" s="995"/>
      <c r="E482" s="995"/>
      <c r="R482" s="996"/>
      <c r="S482" s="996"/>
      <c r="T482" s="996"/>
      <c r="U482" s="996"/>
      <c r="V482" s="996"/>
      <c r="W482" s="996"/>
      <c r="X482" s="996"/>
      <c r="Y482" s="996"/>
    </row>
    <row r="483" spans="1:25" x14ac:dyDescent="0.2">
      <c r="A483" s="995"/>
      <c r="B483" s="995"/>
      <c r="C483" s="995"/>
      <c r="D483" s="995"/>
      <c r="E483" s="995"/>
      <c r="R483" s="996"/>
      <c r="S483" s="996"/>
      <c r="T483" s="996"/>
      <c r="U483" s="996"/>
      <c r="V483" s="996"/>
      <c r="W483" s="996"/>
      <c r="X483" s="996"/>
      <c r="Y483" s="996"/>
    </row>
    <row r="484" spans="1:25" x14ac:dyDescent="0.2">
      <c r="A484" s="995"/>
      <c r="B484" s="995"/>
      <c r="C484" s="995"/>
      <c r="D484" s="995"/>
      <c r="E484" s="995"/>
      <c r="R484" s="996"/>
      <c r="S484" s="996"/>
      <c r="T484" s="996"/>
      <c r="U484" s="996"/>
      <c r="V484" s="996"/>
      <c r="W484" s="996"/>
      <c r="X484" s="996"/>
      <c r="Y484" s="996"/>
    </row>
    <row r="485" spans="1:25" x14ac:dyDescent="0.2">
      <c r="A485" s="995"/>
      <c r="B485" s="995"/>
      <c r="C485" s="995"/>
      <c r="D485" s="995"/>
      <c r="E485" s="995"/>
      <c r="R485" s="996"/>
      <c r="S485" s="996"/>
      <c r="T485" s="996"/>
      <c r="U485" s="996"/>
      <c r="V485" s="996"/>
      <c r="W485" s="996"/>
      <c r="X485" s="996"/>
      <c r="Y485" s="996"/>
    </row>
    <row r="486" spans="1:25" x14ac:dyDescent="0.2">
      <c r="A486" s="995"/>
      <c r="B486" s="995"/>
      <c r="C486" s="995"/>
      <c r="D486" s="995"/>
      <c r="E486" s="995"/>
      <c r="R486" s="996"/>
      <c r="S486" s="996"/>
      <c r="T486" s="996"/>
      <c r="U486" s="996"/>
      <c r="V486" s="996"/>
      <c r="W486" s="996"/>
      <c r="X486" s="996"/>
      <c r="Y486" s="996"/>
    </row>
    <row r="487" spans="1:25" x14ac:dyDescent="0.2">
      <c r="A487" s="995"/>
      <c r="B487" s="995"/>
      <c r="C487" s="995"/>
      <c r="D487" s="995"/>
      <c r="E487" s="995"/>
      <c r="R487" s="996"/>
      <c r="S487" s="996"/>
      <c r="T487" s="996"/>
      <c r="U487" s="996"/>
      <c r="V487" s="996"/>
      <c r="W487" s="996"/>
      <c r="X487" s="996"/>
      <c r="Y487" s="996"/>
    </row>
    <row r="488" spans="1:25" x14ac:dyDescent="0.2">
      <c r="A488" s="995"/>
      <c r="B488" s="995"/>
      <c r="C488" s="995"/>
      <c r="D488" s="995"/>
      <c r="E488" s="995"/>
      <c r="R488" s="996"/>
      <c r="S488" s="996"/>
      <c r="T488" s="996"/>
      <c r="U488" s="996"/>
      <c r="V488" s="996"/>
      <c r="W488" s="996"/>
      <c r="X488" s="996"/>
      <c r="Y488" s="996"/>
    </row>
    <row r="489" spans="1:25" x14ac:dyDescent="0.2">
      <c r="A489" s="995"/>
      <c r="B489" s="995"/>
      <c r="C489" s="995"/>
      <c r="D489" s="995"/>
      <c r="E489" s="995"/>
      <c r="R489" s="996"/>
      <c r="S489" s="996"/>
      <c r="T489" s="996"/>
      <c r="U489" s="996"/>
      <c r="V489" s="996"/>
      <c r="W489" s="996"/>
      <c r="X489" s="996"/>
      <c r="Y489" s="996"/>
    </row>
    <row r="490" spans="1:25" x14ac:dyDescent="0.2">
      <c r="A490" s="995"/>
      <c r="B490" s="995"/>
      <c r="C490" s="995"/>
      <c r="D490" s="995"/>
      <c r="E490" s="995"/>
      <c r="R490" s="996"/>
      <c r="S490" s="996"/>
      <c r="T490" s="996"/>
      <c r="U490" s="996"/>
      <c r="V490" s="996"/>
      <c r="W490" s="996"/>
      <c r="X490" s="996"/>
      <c r="Y490" s="996"/>
    </row>
    <row r="491" spans="1:25" x14ac:dyDescent="0.2">
      <c r="A491" s="995"/>
      <c r="B491" s="995"/>
      <c r="C491" s="995"/>
      <c r="D491" s="995"/>
      <c r="E491" s="995"/>
      <c r="R491" s="996"/>
      <c r="S491" s="996"/>
      <c r="T491" s="996"/>
      <c r="U491" s="996"/>
      <c r="V491" s="996"/>
      <c r="W491" s="996"/>
      <c r="X491" s="996"/>
      <c r="Y491" s="996"/>
    </row>
    <row r="492" spans="1:25" x14ac:dyDescent="0.2">
      <c r="A492" s="995"/>
      <c r="B492" s="995"/>
      <c r="C492" s="995"/>
      <c r="D492" s="995"/>
      <c r="E492" s="995"/>
      <c r="R492" s="996"/>
      <c r="S492" s="996"/>
      <c r="T492" s="996"/>
      <c r="U492" s="996"/>
      <c r="V492" s="996"/>
      <c r="W492" s="996"/>
      <c r="X492" s="996"/>
      <c r="Y492" s="996"/>
    </row>
    <row r="493" spans="1:25" x14ac:dyDescent="0.2">
      <c r="A493" s="995"/>
      <c r="B493" s="995"/>
      <c r="C493" s="995"/>
      <c r="D493" s="995"/>
      <c r="E493" s="995"/>
      <c r="R493" s="996"/>
      <c r="S493" s="996"/>
      <c r="T493" s="996"/>
      <c r="U493" s="996"/>
      <c r="V493" s="996"/>
      <c r="W493" s="996"/>
      <c r="X493" s="996"/>
      <c r="Y493" s="996"/>
    </row>
    <row r="494" spans="1:25" x14ac:dyDescent="0.2">
      <c r="A494" s="995"/>
      <c r="B494" s="995"/>
      <c r="C494" s="995"/>
      <c r="D494" s="995"/>
      <c r="E494" s="995"/>
      <c r="R494" s="996"/>
      <c r="S494" s="996"/>
      <c r="T494" s="996"/>
      <c r="U494" s="996"/>
      <c r="V494" s="996"/>
      <c r="W494" s="996"/>
      <c r="X494" s="996"/>
      <c r="Y494" s="996"/>
    </row>
    <row r="495" spans="1:25" x14ac:dyDescent="0.2">
      <c r="A495" s="995"/>
      <c r="B495" s="995"/>
      <c r="C495" s="995"/>
      <c r="D495" s="995"/>
      <c r="E495" s="995"/>
      <c r="R495" s="996"/>
      <c r="S495" s="996"/>
      <c r="T495" s="996"/>
      <c r="U495" s="996"/>
      <c r="V495" s="996"/>
      <c r="W495" s="996"/>
      <c r="X495" s="996"/>
      <c r="Y495" s="996"/>
    </row>
    <row r="496" spans="1:25" x14ac:dyDescent="0.2">
      <c r="A496" s="995"/>
      <c r="B496" s="995"/>
      <c r="C496" s="995"/>
      <c r="D496" s="995"/>
      <c r="E496" s="995"/>
      <c r="R496" s="996"/>
      <c r="S496" s="996"/>
      <c r="T496" s="996"/>
      <c r="U496" s="996"/>
      <c r="V496" s="996"/>
      <c r="W496" s="996"/>
      <c r="X496" s="996"/>
      <c r="Y496" s="996"/>
    </row>
    <row r="497" spans="1:25" x14ac:dyDescent="0.2">
      <c r="A497" s="995"/>
      <c r="B497" s="995"/>
      <c r="C497" s="995"/>
      <c r="D497" s="995"/>
      <c r="E497" s="995"/>
      <c r="R497" s="996"/>
      <c r="S497" s="996"/>
      <c r="T497" s="996"/>
      <c r="U497" s="996"/>
      <c r="V497" s="996"/>
      <c r="W497" s="996"/>
      <c r="X497" s="996"/>
      <c r="Y497" s="996"/>
    </row>
    <row r="498" spans="1:25" x14ac:dyDescent="0.2">
      <c r="A498" s="995"/>
      <c r="B498" s="995"/>
      <c r="C498" s="995"/>
      <c r="D498" s="995"/>
      <c r="E498" s="995"/>
      <c r="R498" s="996"/>
      <c r="S498" s="996"/>
      <c r="T498" s="996"/>
      <c r="U498" s="996"/>
      <c r="V498" s="996"/>
      <c r="W498" s="996"/>
      <c r="X498" s="996"/>
      <c r="Y498" s="996"/>
    </row>
    <row r="499" spans="1:25" x14ac:dyDescent="0.2">
      <c r="A499" s="995"/>
      <c r="B499" s="995"/>
      <c r="C499" s="995"/>
      <c r="D499" s="995"/>
      <c r="E499" s="995"/>
      <c r="R499" s="996"/>
      <c r="S499" s="996"/>
      <c r="T499" s="996"/>
      <c r="U499" s="996"/>
      <c r="V499" s="996"/>
      <c r="W499" s="996"/>
      <c r="X499" s="996"/>
      <c r="Y499" s="996"/>
    </row>
    <row r="500" spans="1:25" x14ac:dyDescent="0.2">
      <c r="A500" s="995"/>
      <c r="B500" s="995"/>
      <c r="C500" s="995"/>
      <c r="D500" s="995"/>
      <c r="E500" s="995"/>
      <c r="R500" s="996"/>
      <c r="S500" s="996"/>
      <c r="T500" s="996"/>
      <c r="U500" s="996"/>
      <c r="V500" s="996"/>
      <c r="W500" s="996"/>
      <c r="X500" s="996"/>
      <c r="Y500" s="996"/>
    </row>
    <row r="501" spans="1:25" x14ac:dyDescent="0.2">
      <c r="A501" s="995"/>
      <c r="B501" s="995"/>
      <c r="C501" s="995"/>
      <c r="D501" s="995"/>
      <c r="E501" s="995"/>
      <c r="R501" s="996"/>
      <c r="S501" s="996"/>
      <c r="T501" s="996"/>
      <c r="U501" s="996"/>
      <c r="V501" s="996"/>
      <c r="W501" s="996"/>
      <c r="X501" s="996"/>
      <c r="Y501" s="996"/>
    </row>
    <row r="502" spans="1:25" x14ac:dyDescent="0.2">
      <c r="A502" s="995"/>
      <c r="B502" s="995"/>
      <c r="C502" s="995"/>
      <c r="D502" s="995"/>
      <c r="E502" s="995"/>
      <c r="R502" s="996"/>
      <c r="S502" s="996"/>
      <c r="T502" s="996"/>
      <c r="U502" s="996"/>
      <c r="V502" s="996"/>
      <c r="W502" s="996"/>
      <c r="X502" s="996"/>
      <c r="Y502" s="996"/>
    </row>
    <row r="503" spans="1:25" x14ac:dyDescent="0.2">
      <c r="A503" s="995"/>
      <c r="B503" s="995"/>
      <c r="C503" s="995"/>
      <c r="D503" s="995"/>
      <c r="E503" s="995"/>
      <c r="R503" s="996"/>
      <c r="S503" s="996"/>
      <c r="T503" s="996"/>
      <c r="U503" s="996"/>
      <c r="V503" s="996"/>
      <c r="W503" s="996"/>
      <c r="X503" s="996"/>
      <c r="Y503" s="996"/>
    </row>
    <row r="504" spans="1:25" x14ac:dyDescent="0.2">
      <c r="A504" s="995"/>
      <c r="B504" s="995"/>
      <c r="C504" s="995"/>
      <c r="D504" s="995"/>
      <c r="E504" s="995"/>
      <c r="R504" s="996"/>
      <c r="S504" s="996"/>
      <c r="T504" s="996"/>
      <c r="U504" s="996"/>
      <c r="V504" s="996"/>
      <c r="W504" s="996"/>
      <c r="X504" s="996"/>
      <c r="Y504" s="996"/>
    </row>
    <row r="505" spans="1:25" x14ac:dyDescent="0.2">
      <c r="A505" s="995"/>
      <c r="B505" s="995"/>
      <c r="C505" s="995"/>
      <c r="D505" s="995"/>
      <c r="E505" s="995"/>
      <c r="R505" s="996"/>
      <c r="S505" s="996"/>
      <c r="T505" s="996"/>
      <c r="U505" s="996"/>
      <c r="V505" s="996"/>
      <c r="W505" s="996"/>
      <c r="X505" s="996"/>
      <c r="Y505" s="996"/>
    </row>
    <row r="506" spans="1:25" x14ac:dyDescent="0.2">
      <c r="A506" s="995"/>
      <c r="B506" s="995"/>
      <c r="C506" s="995"/>
      <c r="D506" s="995"/>
      <c r="E506" s="995"/>
      <c r="R506" s="996"/>
      <c r="S506" s="996"/>
      <c r="T506" s="996"/>
      <c r="U506" s="996"/>
      <c r="V506" s="996"/>
      <c r="W506" s="996"/>
      <c r="X506" s="996"/>
      <c r="Y506" s="996"/>
    </row>
    <row r="507" spans="1:25" x14ac:dyDescent="0.2">
      <c r="A507" s="995"/>
      <c r="B507" s="995"/>
      <c r="C507" s="995"/>
      <c r="D507" s="995"/>
      <c r="E507" s="995"/>
      <c r="R507" s="996"/>
      <c r="S507" s="996"/>
      <c r="T507" s="996"/>
      <c r="U507" s="996"/>
      <c r="V507" s="996"/>
      <c r="W507" s="996"/>
      <c r="X507" s="996"/>
      <c r="Y507" s="996"/>
    </row>
    <row r="508" spans="1:25" x14ac:dyDescent="0.2">
      <c r="A508" s="995"/>
      <c r="B508" s="995"/>
      <c r="C508" s="995"/>
      <c r="D508" s="995"/>
      <c r="E508" s="995"/>
      <c r="R508" s="996"/>
      <c r="S508" s="996"/>
      <c r="T508" s="996"/>
      <c r="U508" s="996"/>
      <c r="V508" s="996"/>
      <c r="W508" s="996"/>
      <c r="X508" s="996"/>
      <c r="Y508" s="996"/>
    </row>
    <row r="509" spans="1:25" x14ac:dyDescent="0.2">
      <c r="A509" s="995"/>
      <c r="B509" s="995"/>
      <c r="C509" s="995"/>
      <c r="D509" s="995"/>
      <c r="E509" s="995"/>
      <c r="R509" s="996"/>
      <c r="S509" s="996"/>
      <c r="T509" s="996"/>
      <c r="U509" s="996"/>
      <c r="V509" s="996"/>
      <c r="W509" s="996"/>
      <c r="X509" s="996"/>
      <c r="Y509" s="996"/>
    </row>
    <row r="510" spans="1:25" x14ac:dyDescent="0.2">
      <c r="A510" s="995"/>
      <c r="B510" s="995"/>
      <c r="C510" s="995"/>
      <c r="D510" s="995"/>
      <c r="E510" s="995"/>
      <c r="R510" s="996"/>
      <c r="S510" s="996"/>
      <c r="T510" s="996"/>
      <c r="U510" s="996"/>
      <c r="V510" s="996"/>
      <c r="W510" s="996"/>
      <c r="X510" s="996"/>
      <c r="Y510" s="996"/>
    </row>
    <row r="511" spans="1:25" x14ac:dyDescent="0.2">
      <c r="A511" s="995"/>
      <c r="B511" s="995"/>
      <c r="C511" s="995"/>
      <c r="D511" s="995"/>
      <c r="E511" s="995"/>
      <c r="R511" s="996"/>
      <c r="S511" s="996"/>
      <c r="T511" s="996"/>
      <c r="U511" s="996"/>
      <c r="V511" s="996"/>
      <c r="W511" s="996"/>
      <c r="X511" s="996"/>
      <c r="Y511" s="996"/>
    </row>
    <row r="512" spans="1:25" x14ac:dyDescent="0.2">
      <c r="A512" s="995"/>
      <c r="B512" s="995"/>
      <c r="C512" s="995"/>
      <c r="D512" s="995"/>
      <c r="E512" s="995"/>
      <c r="R512" s="996"/>
      <c r="S512" s="996"/>
      <c r="T512" s="996"/>
      <c r="U512" s="996"/>
      <c r="V512" s="996"/>
      <c r="W512" s="996"/>
      <c r="X512" s="996"/>
      <c r="Y512" s="996"/>
    </row>
    <row r="513" spans="1:25" x14ac:dyDescent="0.2">
      <c r="A513" s="995"/>
      <c r="B513" s="995"/>
      <c r="C513" s="995"/>
      <c r="D513" s="995"/>
      <c r="E513" s="995"/>
      <c r="R513" s="996"/>
      <c r="S513" s="996"/>
      <c r="T513" s="996"/>
      <c r="U513" s="996"/>
      <c r="V513" s="996"/>
      <c r="W513" s="996"/>
      <c r="X513" s="996"/>
      <c r="Y513" s="996"/>
    </row>
    <row r="514" spans="1:25" x14ac:dyDescent="0.2">
      <c r="A514" s="995"/>
      <c r="B514" s="995"/>
      <c r="C514" s="995"/>
      <c r="D514" s="995"/>
      <c r="E514" s="995"/>
      <c r="R514" s="996"/>
      <c r="S514" s="996"/>
      <c r="T514" s="996"/>
      <c r="U514" s="996"/>
      <c r="V514" s="996"/>
      <c r="W514" s="996"/>
      <c r="X514" s="996"/>
      <c r="Y514" s="996"/>
    </row>
    <row r="515" spans="1:25" x14ac:dyDescent="0.2">
      <c r="A515" s="995"/>
      <c r="B515" s="995"/>
      <c r="C515" s="995"/>
      <c r="D515" s="995"/>
      <c r="E515" s="995"/>
      <c r="R515" s="996"/>
      <c r="S515" s="996"/>
      <c r="T515" s="996"/>
      <c r="U515" s="996"/>
      <c r="V515" s="996"/>
      <c r="W515" s="996"/>
      <c r="X515" s="996"/>
      <c r="Y515" s="996"/>
    </row>
    <row r="516" spans="1:25" x14ac:dyDescent="0.2">
      <c r="A516" s="995"/>
      <c r="B516" s="995"/>
      <c r="C516" s="995"/>
      <c r="D516" s="995"/>
      <c r="E516" s="995"/>
      <c r="R516" s="996"/>
      <c r="S516" s="996"/>
      <c r="T516" s="996"/>
      <c r="U516" s="996"/>
      <c r="V516" s="996"/>
      <c r="W516" s="996"/>
      <c r="X516" s="996"/>
      <c r="Y516" s="996"/>
    </row>
    <row r="517" spans="1:25" x14ac:dyDescent="0.2">
      <c r="A517" s="995"/>
      <c r="B517" s="995"/>
      <c r="C517" s="995"/>
      <c r="D517" s="995"/>
      <c r="E517" s="995"/>
      <c r="R517" s="996"/>
      <c r="S517" s="996"/>
      <c r="T517" s="996"/>
      <c r="U517" s="996"/>
      <c r="V517" s="996"/>
      <c r="W517" s="996"/>
      <c r="X517" s="996"/>
      <c r="Y517" s="996"/>
    </row>
    <row r="518" spans="1:25" x14ac:dyDescent="0.2">
      <c r="A518" s="995"/>
      <c r="B518" s="995"/>
      <c r="C518" s="995"/>
      <c r="D518" s="995"/>
      <c r="E518" s="995"/>
      <c r="R518" s="996"/>
      <c r="S518" s="996"/>
      <c r="T518" s="996"/>
      <c r="U518" s="996"/>
      <c r="V518" s="996"/>
      <c r="W518" s="996"/>
      <c r="X518" s="996"/>
      <c r="Y518" s="996"/>
    </row>
    <row r="519" spans="1:25" x14ac:dyDescent="0.2">
      <c r="A519" s="995"/>
      <c r="B519" s="995"/>
      <c r="C519" s="995"/>
      <c r="D519" s="995"/>
      <c r="E519" s="995"/>
      <c r="R519" s="996"/>
      <c r="S519" s="996"/>
      <c r="T519" s="996"/>
      <c r="U519" s="996"/>
      <c r="V519" s="996"/>
      <c r="W519" s="996"/>
      <c r="X519" s="996"/>
      <c r="Y519" s="996"/>
    </row>
    <row r="520" spans="1:25" x14ac:dyDescent="0.2">
      <c r="A520" s="995"/>
      <c r="B520" s="995"/>
      <c r="C520" s="995"/>
      <c r="D520" s="995"/>
      <c r="E520" s="995"/>
      <c r="R520" s="996"/>
      <c r="S520" s="996"/>
      <c r="T520" s="996"/>
      <c r="U520" s="996"/>
      <c r="V520" s="996"/>
      <c r="W520" s="996"/>
      <c r="X520" s="996"/>
      <c r="Y520" s="996"/>
    </row>
    <row r="521" spans="1:25" x14ac:dyDescent="0.2">
      <c r="A521" s="995"/>
      <c r="B521" s="995"/>
      <c r="C521" s="995"/>
      <c r="D521" s="995"/>
      <c r="E521" s="995"/>
      <c r="R521" s="996"/>
      <c r="S521" s="996"/>
      <c r="T521" s="996"/>
      <c r="U521" s="996"/>
      <c r="V521" s="996"/>
      <c r="W521" s="996"/>
      <c r="X521" s="996"/>
      <c r="Y521" s="996"/>
    </row>
    <row r="522" spans="1:25" x14ac:dyDescent="0.2">
      <c r="A522" s="995"/>
      <c r="B522" s="995"/>
      <c r="C522" s="995"/>
      <c r="D522" s="995"/>
      <c r="E522" s="995"/>
      <c r="R522" s="996"/>
      <c r="S522" s="996"/>
      <c r="T522" s="996"/>
      <c r="U522" s="996"/>
      <c r="V522" s="996"/>
      <c r="W522" s="996"/>
      <c r="X522" s="996"/>
      <c r="Y522" s="996"/>
    </row>
    <row r="523" spans="1:25" x14ac:dyDescent="0.2">
      <c r="A523" s="995"/>
      <c r="B523" s="995"/>
      <c r="C523" s="995"/>
      <c r="D523" s="995"/>
      <c r="E523" s="995"/>
      <c r="R523" s="996"/>
      <c r="S523" s="996"/>
      <c r="T523" s="996"/>
      <c r="U523" s="996"/>
      <c r="V523" s="996"/>
      <c r="W523" s="996"/>
      <c r="X523" s="996"/>
      <c r="Y523" s="996"/>
    </row>
    <row r="524" spans="1:25" x14ac:dyDescent="0.2">
      <c r="A524" s="995"/>
      <c r="B524" s="995"/>
      <c r="C524" s="995"/>
      <c r="D524" s="995"/>
      <c r="E524" s="995"/>
      <c r="R524" s="996"/>
      <c r="S524" s="996"/>
      <c r="T524" s="996"/>
      <c r="U524" s="996"/>
      <c r="V524" s="996"/>
      <c r="W524" s="996"/>
      <c r="X524" s="996"/>
      <c r="Y524" s="996"/>
    </row>
    <row r="525" spans="1:25" x14ac:dyDescent="0.2">
      <c r="A525" s="995"/>
      <c r="B525" s="995"/>
      <c r="C525" s="995"/>
      <c r="D525" s="995"/>
      <c r="E525" s="995"/>
      <c r="R525" s="996"/>
      <c r="S525" s="996"/>
      <c r="T525" s="996"/>
      <c r="U525" s="996"/>
      <c r="V525" s="996"/>
      <c r="W525" s="996"/>
      <c r="X525" s="996"/>
      <c r="Y525" s="996"/>
    </row>
    <row r="526" spans="1:25" x14ac:dyDescent="0.2">
      <c r="A526" s="995"/>
      <c r="B526" s="995"/>
      <c r="C526" s="995"/>
      <c r="D526" s="995"/>
      <c r="E526" s="995"/>
      <c r="R526" s="996"/>
      <c r="S526" s="996"/>
      <c r="T526" s="996"/>
      <c r="U526" s="996"/>
      <c r="V526" s="996"/>
      <c r="W526" s="996"/>
      <c r="X526" s="996"/>
      <c r="Y526" s="996"/>
    </row>
    <row r="527" spans="1:25" x14ac:dyDescent="0.2">
      <c r="A527" s="995"/>
      <c r="B527" s="995"/>
      <c r="C527" s="995"/>
      <c r="D527" s="995"/>
      <c r="E527" s="995"/>
      <c r="R527" s="996"/>
      <c r="S527" s="996"/>
      <c r="T527" s="996"/>
      <c r="U527" s="996"/>
      <c r="V527" s="996"/>
      <c r="W527" s="996"/>
      <c r="X527" s="996"/>
      <c r="Y527" s="996"/>
    </row>
    <row r="528" spans="1:25" x14ac:dyDescent="0.2">
      <c r="A528" s="995"/>
      <c r="B528" s="995"/>
      <c r="C528" s="995"/>
      <c r="D528" s="995"/>
      <c r="E528" s="995"/>
      <c r="R528" s="996"/>
      <c r="S528" s="996"/>
      <c r="T528" s="996"/>
      <c r="U528" s="996"/>
      <c r="V528" s="996"/>
      <c r="W528" s="996"/>
      <c r="X528" s="996"/>
      <c r="Y528" s="996"/>
    </row>
    <row r="529" spans="1:25" x14ac:dyDescent="0.2">
      <c r="A529" s="995"/>
      <c r="B529" s="995"/>
      <c r="C529" s="995"/>
      <c r="D529" s="995"/>
      <c r="E529" s="995"/>
      <c r="R529" s="996"/>
      <c r="S529" s="996"/>
      <c r="T529" s="996"/>
      <c r="U529" s="996"/>
      <c r="V529" s="996"/>
      <c r="W529" s="996"/>
      <c r="X529" s="996"/>
      <c r="Y529" s="996"/>
    </row>
    <row r="530" spans="1:25" x14ac:dyDescent="0.2">
      <c r="A530" s="995"/>
      <c r="B530" s="995"/>
      <c r="C530" s="995"/>
      <c r="D530" s="995"/>
      <c r="E530" s="995"/>
      <c r="R530" s="996"/>
      <c r="S530" s="996"/>
      <c r="T530" s="996"/>
      <c r="U530" s="996"/>
      <c r="V530" s="996"/>
      <c r="W530" s="996"/>
      <c r="X530" s="996"/>
      <c r="Y530" s="996"/>
    </row>
    <row r="531" spans="1:25" x14ac:dyDescent="0.2">
      <c r="A531" s="995"/>
      <c r="B531" s="995"/>
      <c r="C531" s="995"/>
      <c r="D531" s="995"/>
      <c r="E531" s="995"/>
      <c r="R531" s="996"/>
      <c r="S531" s="996"/>
      <c r="T531" s="996"/>
      <c r="U531" s="996"/>
      <c r="V531" s="996"/>
      <c r="W531" s="996"/>
      <c r="X531" s="996"/>
      <c r="Y531" s="996"/>
    </row>
    <row r="532" spans="1:25" x14ac:dyDescent="0.2">
      <c r="A532" s="995"/>
      <c r="B532" s="995"/>
      <c r="C532" s="995"/>
      <c r="D532" s="995"/>
      <c r="E532" s="995"/>
      <c r="R532" s="996"/>
      <c r="S532" s="996"/>
      <c r="T532" s="996"/>
      <c r="U532" s="996"/>
      <c r="V532" s="996"/>
      <c r="W532" s="996"/>
      <c r="X532" s="996"/>
      <c r="Y532" s="996"/>
    </row>
    <row r="533" spans="1:25" x14ac:dyDescent="0.2">
      <c r="A533" s="995"/>
      <c r="B533" s="995"/>
      <c r="C533" s="995"/>
      <c r="D533" s="995"/>
      <c r="E533" s="995"/>
      <c r="R533" s="996"/>
      <c r="S533" s="996"/>
      <c r="T533" s="996"/>
      <c r="U533" s="996"/>
      <c r="V533" s="996"/>
      <c r="W533" s="996"/>
      <c r="X533" s="996"/>
      <c r="Y533" s="996"/>
    </row>
    <row r="534" spans="1:25" x14ac:dyDescent="0.2">
      <c r="A534" s="995"/>
      <c r="B534" s="995"/>
      <c r="C534" s="995"/>
      <c r="D534" s="995"/>
      <c r="E534" s="995"/>
      <c r="R534" s="996"/>
      <c r="S534" s="996"/>
      <c r="T534" s="996"/>
      <c r="U534" s="996"/>
      <c r="V534" s="996"/>
      <c r="W534" s="996"/>
      <c r="X534" s="996"/>
      <c r="Y534" s="996"/>
    </row>
    <row r="535" spans="1:25" x14ac:dyDescent="0.2">
      <c r="A535" s="995"/>
      <c r="B535" s="995"/>
      <c r="C535" s="995"/>
      <c r="D535" s="995"/>
      <c r="E535" s="995"/>
      <c r="R535" s="996"/>
      <c r="S535" s="996"/>
      <c r="T535" s="996"/>
      <c r="U535" s="996"/>
      <c r="V535" s="996"/>
      <c r="W535" s="996"/>
      <c r="X535" s="996"/>
      <c r="Y535" s="996"/>
    </row>
    <row r="536" spans="1:25" x14ac:dyDescent="0.2">
      <c r="A536" s="995"/>
      <c r="B536" s="995"/>
      <c r="C536" s="995"/>
      <c r="D536" s="995"/>
      <c r="E536" s="995"/>
      <c r="R536" s="996"/>
      <c r="S536" s="996"/>
      <c r="T536" s="996"/>
      <c r="U536" s="996"/>
      <c r="V536" s="996"/>
      <c r="W536" s="996"/>
      <c r="X536" s="996"/>
      <c r="Y536" s="996"/>
    </row>
    <row r="537" spans="1:25" x14ac:dyDescent="0.2">
      <c r="A537" s="995"/>
      <c r="B537" s="995"/>
      <c r="C537" s="995"/>
      <c r="D537" s="995"/>
      <c r="E537" s="995"/>
      <c r="R537" s="996"/>
      <c r="S537" s="996"/>
      <c r="T537" s="996"/>
      <c r="U537" s="996"/>
      <c r="V537" s="996"/>
      <c r="W537" s="996"/>
      <c r="X537" s="996"/>
      <c r="Y537" s="996"/>
    </row>
    <row r="538" spans="1:25" x14ac:dyDescent="0.2">
      <c r="A538" s="995"/>
      <c r="B538" s="995"/>
      <c r="C538" s="995"/>
      <c r="D538" s="995"/>
      <c r="E538" s="995"/>
      <c r="R538" s="996"/>
      <c r="S538" s="996"/>
      <c r="T538" s="996"/>
      <c r="U538" s="996"/>
      <c r="V538" s="996"/>
      <c r="W538" s="996"/>
      <c r="X538" s="996"/>
      <c r="Y538" s="996"/>
    </row>
    <row r="539" spans="1:25" x14ac:dyDescent="0.2">
      <c r="A539" s="995"/>
      <c r="B539" s="995"/>
      <c r="C539" s="995"/>
      <c r="D539" s="995"/>
      <c r="E539" s="995"/>
      <c r="R539" s="996"/>
      <c r="S539" s="996"/>
      <c r="T539" s="996"/>
      <c r="U539" s="996"/>
      <c r="V539" s="996"/>
      <c r="W539" s="996"/>
      <c r="X539" s="996"/>
      <c r="Y539" s="996"/>
    </row>
    <row r="540" spans="1:25" x14ac:dyDescent="0.2">
      <c r="A540" s="995"/>
      <c r="B540" s="995"/>
      <c r="C540" s="995"/>
      <c r="D540" s="995"/>
      <c r="E540" s="995"/>
      <c r="R540" s="996"/>
      <c r="S540" s="996"/>
      <c r="T540" s="996"/>
      <c r="U540" s="996"/>
      <c r="V540" s="996"/>
      <c r="W540" s="996"/>
      <c r="X540" s="996"/>
      <c r="Y540" s="996"/>
    </row>
    <row r="541" spans="1:25" x14ac:dyDescent="0.2">
      <c r="A541" s="995"/>
      <c r="B541" s="995"/>
      <c r="C541" s="995"/>
      <c r="D541" s="995"/>
      <c r="E541" s="995"/>
      <c r="R541" s="996"/>
      <c r="S541" s="996"/>
      <c r="T541" s="996"/>
      <c r="U541" s="996"/>
      <c r="V541" s="996"/>
      <c r="W541" s="996"/>
      <c r="X541" s="996"/>
      <c r="Y541" s="996"/>
    </row>
    <row r="542" spans="1:25" x14ac:dyDescent="0.2">
      <c r="A542" s="995"/>
      <c r="B542" s="995"/>
      <c r="C542" s="995"/>
      <c r="D542" s="995"/>
      <c r="E542" s="995"/>
      <c r="R542" s="996"/>
      <c r="S542" s="996"/>
      <c r="T542" s="996"/>
      <c r="U542" s="996"/>
      <c r="V542" s="996"/>
      <c r="W542" s="996"/>
      <c r="X542" s="996"/>
      <c r="Y542" s="996"/>
    </row>
    <row r="543" spans="1:25" x14ac:dyDescent="0.2">
      <c r="A543" s="995"/>
      <c r="B543" s="995"/>
      <c r="C543" s="995"/>
      <c r="D543" s="995"/>
      <c r="E543" s="995"/>
      <c r="R543" s="996"/>
      <c r="S543" s="996"/>
      <c r="T543" s="996"/>
      <c r="U543" s="996"/>
      <c r="V543" s="996"/>
      <c r="W543" s="996"/>
      <c r="X543" s="996"/>
      <c r="Y543" s="996"/>
    </row>
    <row r="544" spans="1:25" x14ac:dyDescent="0.2">
      <c r="A544" s="995"/>
      <c r="B544" s="995"/>
      <c r="C544" s="995"/>
      <c r="D544" s="995"/>
      <c r="E544" s="995"/>
      <c r="R544" s="996"/>
      <c r="S544" s="996"/>
      <c r="T544" s="996"/>
      <c r="U544" s="996"/>
      <c r="V544" s="996"/>
      <c r="W544" s="996"/>
      <c r="X544" s="996"/>
      <c r="Y544" s="996"/>
    </row>
    <row r="545" spans="1:25" x14ac:dyDescent="0.2">
      <c r="A545" s="995"/>
      <c r="B545" s="995"/>
      <c r="C545" s="995"/>
      <c r="D545" s="995"/>
      <c r="E545" s="995"/>
      <c r="R545" s="996"/>
      <c r="S545" s="996"/>
      <c r="T545" s="996"/>
      <c r="U545" s="996"/>
      <c r="V545" s="996"/>
      <c r="W545" s="996"/>
      <c r="X545" s="996"/>
      <c r="Y545" s="996"/>
    </row>
    <row r="546" spans="1:25" x14ac:dyDescent="0.2">
      <c r="A546" s="995"/>
      <c r="B546" s="995"/>
      <c r="C546" s="995"/>
      <c r="D546" s="995"/>
      <c r="E546" s="995"/>
      <c r="R546" s="996"/>
      <c r="S546" s="996"/>
      <c r="T546" s="996"/>
      <c r="U546" s="996"/>
      <c r="V546" s="996"/>
      <c r="W546" s="996"/>
      <c r="X546" s="996"/>
      <c r="Y546" s="996"/>
    </row>
    <row r="547" spans="1:25" x14ac:dyDescent="0.2">
      <c r="A547" s="995"/>
      <c r="B547" s="995"/>
      <c r="C547" s="995"/>
      <c r="D547" s="995"/>
      <c r="E547" s="995"/>
      <c r="R547" s="996"/>
      <c r="S547" s="996"/>
      <c r="T547" s="996"/>
      <c r="U547" s="996"/>
      <c r="V547" s="996"/>
      <c r="W547" s="996"/>
      <c r="X547" s="996"/>
      <c r="Y547" s="996"/>
    </row>
    <row r="548" spans="1:25" x14ac:dyDescent="0.2">
      <c r="A548" s="995"/>
      <c r="B548" s="995"/>
      <c r="C548" s="995"/>
      <c r="D548" s="995"/>
      <c r="E548" s="995"/>
      <c r="R548" s="996"/>
      <c r="S548" s="996"/>
      <c r="T548" s="996"/>
      <c r="U548" s="996"/>
      <c r="V548" s="996"/>
      <c r="W548" s="996"/>
      <c r="X548" s="996"/>
      <c r="Y548" s="996"/>
    </row>
    <row r="549" spans="1:25" x14ac:dyDescent="0.2">
      <c r="A549" s="995"/>
      <c r="B549" s="995"/>
      <c r="C549" s="995"/>
      <c r="D549" s="995"/>
      <c r="E549" s="995"/>
      <c r="R549" s="996"/>
      <c r="S549" s="996"/>
      <c r="T549" s="996"/>
      <c r="U549" s="996"/>
      <c r="V549" s="996"/>
      <c r="W549" s="996"/>
      <c r="X549" s="996"/>
      <c r="Y549" s="996"/>
    </row>
    <row r="550" spans="1:25" x14ac:dyDescent="0.2">
      <c r="A550" s="995"/>
      <c r="B550" s="995"/>
      <c r="C550" s="995"/>
      <c r="D550" s="995"/>
      <c r="E550" s="995"/>
      <c r="R550" s="996"/>
      <c r="S550" s="996"/>
      <c r="T550" s="996"/>
      <c r="U550" s="996"/>
      <c r="V550" s="996"/>
      <c r="W550" s="996"/>
      <c r="X550" s="996"/>
      <c r="Y550" s="996"/>
    </row>
    <row r="551" spans="1:25" x14ac:dyDescent="0.2">
      <c r="A551" s="995"/>
      <c r="B551" s="995"/>
      <c r="C551" s="995"/>
      <c r="D551" s="995"/>
      <c r="E551" s="995"/>
      <c r="R551" s="996"/>
      <c r="S551" s="996"/>
      <c r="T551" s="996"/>
      <c r="U551" s="996"/>
      <c r="V551" s="996"/>
      <c r="W551" s="996"/>
      <c r="X551" s="996"/>
      <c r="Y551" s="996"/>
    </row>
    <row r="552" spans="1:25" x14ac:dyDescent="0.2">
      <c r="A552" s="995"/>
      <c r="B552" s="995"/>
      <c r="C552" s="995"/>
      <c r="D552" s="995"/>
      <c r="E552" s="995"/>
      <c r="R552" s="996"/>
      <c r="S552" s="996"/>
      <c r="T552" s="996"/>
      <c r="U552" s="996"/>
      <c r="V552" s="996"/>
      <c r="W552" s="996"/>
      <c r="X552" s="996"/>
      <c r="Y552" s="996"/>
    </row>
    <row r="553" spans="1:25" x14ac:dyDescent="0.2">
      <c r="A553" s="995"/>
      <c r="B553" s="995"/>
      <c r="C553" s="995"/>
      <c r="D553" s="995"/>
      <c r="E553" s="995"/>
      <c r="R553" s="996"/>
      <c r="S553" s="996"/>
      <c r="T553" s="996"/>
      <c r="U553" s="996"/>
      <c r="V553" s="996"/>
      <c r="W553" s="996"/>
      <c r="X553" s="996"/>
      <c r="Y553" s="996"/>
    </row>
    <row r="554" spans="1:25" x14ac:dyDescent="0.2">
      <c r="A554" s="995"/>
      <c r="B554" s="995"/>
      <c r="C554" s="995"/>
      <c r="D554" s="995"/>
      <c r="E554" s="995"/>
      <c r="R554" s="996"/>
      <c r="S554" s="996"/>
      <c r="T554" s="996"/>
      <c r="U554" s="996"/>
      <c r="V554" s="996"/>
      <c r="W554" s="996"/>
      <c r="X554" s="996"/>
      <c r="Y554" s="996"/>
    </row>
    <row r="555" spans="1:25" x14ac:dyDescent="0.2">
      <c r="A555" s="995"/>
      <c r="B555" s="995"/>
      <c r="C555" s="995"/>
      <c r="D555" s="995"/>
      <c r="E555" s="995"/>
      <c r="R555" s="996"/>
      <c r="S555" s="996"/>
      <c r="T555" s="996"/>
      <c r="U555" s="996"/>
      <c r="V555" s="996"/>
      <c r="W555" s="996"/>
      <c r="X555" s="996"/>
      <c r="Y555" s="996"/>
    </row>
    <row r="556" spans="1:25" x14ac:dyDescent="0.2">
      <c r="A556" s="995"/>
      <c r="B556" s="995"/>
      <c r="C556" s="995"/>
      <c r="D556" s="995"/>
      <c r="E556" s="995"/>
      <c r="R556" s="996"/>
      <c r="S556" s="996"/>
      <c r="T556" s="996"/>
      <c r="U556" s="996"/>
      <c r="V556" s="996"/>
      <c r="W556" s="996"/>
      <c r="X556" s="996"/>
      <c r="Y556" s="996"/>
    </row>
    <row r="557" spans="1:25" x14ac:dyDescent="0.2">
      <c r="A557" s="995"/>
      <c r="B557" s="995"/>
      <c r="C557" s="995"/>
      <c r="D557" s="995"/>
      <c r="E557" s="995"/>
      <c r="R557" s="996"/>
      <c r="S557" s="996"/>
      <c r="T557" s="996"/>
      <c r="U557" s="996"/>
      <c r="V557" s="996"/>
      <c r="W557" s="996"/>
      <c r="X557" s="996"/>
      <c r="Y557" s="996"/>
    </row>
    <row r="558" spans="1:25" x14ac:dyDescent="0.2">
      <c r="A558" s="995"/>
      <c r="B558" s="995"/>
      <c r="C558" s="995"/>
      <c r="D558" s="995"/>
      <c r="E558" s="995"/>
      <c r="R558" s="996"/>
      <c r="S558" s="996"/>
      <c r="T558" s="996"/>
      <c r="U558" s="996"/>
      <c r="V558" s="996"/>
      <c r="W558" s="996"/>
      <c r="X558" s="996"/>
      <c r="Y558" s="996"/>
    </row>
    <row r="559" spans="1:25" x14ac:dyDescent="0.2">
      <c r="A559" s="995"/>
      <c r="B559" s="995"/>
      <c r="C559" s="995"/>
      <c r="D559" s="995"/>
      <c r="E559" s="995"/>
      <c r="R559" s="996"/>
      <c r="S559" s="996"/>
      <c r="T559" s="996"/>
      <c r="U559" s="996"/>
      <c r="V559" s="996"/>
      <c r="W559" s="996"/>
      <c r="X559" s="996"/>
      <c r="Y559" s="996"/>
    </row>
    <row r="560" spans="1:25" x14ac:dyDescent="0.2">
      <c r="A560" s="995"/>
      <c r="B560" s="995"/>
      <c r="C560" s="995"/>
      <c r="D560" s="995"/>
      <c r="E560" s="995"/>
      <c r="R560" s="996"/>
      <c r="S560" s="996"/>
      <c r="T560" s="996"/>
      <c r="U560" s="996"/>
      <c r="V560" s="996"/>
      <c r="W560" s="996"/>
      <c r="X560" s="996"/>
      <c r="Y560" s="996"/>
    </row>
    <row r="561" spans="1:25" x14ac:dyDescent="0.2">
      <c r="A561" s="995"/>
      <c r="B561" s="995"/>
      <c r="C561" s="995"/>
      <c r="D561" s="995"/>
      <c r="E561" s="995"/>
      <c r="R561" s="996"/>
      <c r="S561" s="996"/>
      <c r="T561" s="996"/>
      <c r="U561" s="996"/>
      <c r="V561" s="996"/>
      <c r="W561" s="996"/>
      <c r="X561" s="996"/>
      <c r="Y561" s="996"/>
    </row>
    <row r="562" spans="1:25" x14ac:dyDescent="0.2">
      <c r="A562" s="995"/>
      <c r="B562" s="995"/>
      <c r="C562" s="995"/>
      <c r="D562" s="995"/>
      <c r="E562" s="995"/>
      <c r="R562" s="996"/>
      <c r="S562" s="996"/>
      <c r="T562" s="996"/>
      <c r="U562" s="996"/>
      <c r="V562" s="996"/>
      <c r="W562" s="996"/>
      <c r="X562" s="996"/>
      <c r="Y562" s="996"/>
    </row>
    <row r="563" spans="1:25" x14ac:dyDescent="0.2">
      <c r="A563" s="995"/>
      <c r="B563" s="995"/>
      <c r="C563" s="995"/>
      <c r="D563" s="995"/>
      <c r="E563" s="995"/>
      <c r="R563" s="996"/>
      <c r="S563" s="996"/>
      <c r="T563" s="996"/>
      <c r="U563" s="996"/>
      <c r="V563" s="996"/>
      <c r="W563" s="996"/>
      <c r="X563" s="996"/>
      <c r="Y563" s="996"/>
    </row>
    <row r="564" spans="1:25" x14ac:dyDescent="0.2">
      <c r="A564" s="995"/>
      <c r="B564" s="995"/>
      <c r="C564" s="995"/>
      <c r="D564" s="995"/>
      <c r="E564" s="995"/>
      <c r="R564" s="996"/>
      <c r="S564" s="996"/>
      <c r="T564" s="996"/>
      <c r="U564" s="996"/>
      <c r="V564" s="996"/>
      <c r="W564" s="996"/>
      <c r="X564" s="996"/>
      <c r="Y564" s="996"/>
    </row>
    <row r="565" spans="1:25" x14ac:dyDescent="0.2">
      <c r="A565" s="995"/>
      <c r="B565" s="995"/>
      <c r="C565" s="995"/>
      <c r="D565" s="995"/>
      <c r="E565" s="995"/>
      <c r="R565" s="996"/>
      <c r="S565" s="996"/>
      <c r="T565" s="996"/>
      <c r="U565" s="996"/>
      <c r="V565" s="996"/>
      <c r="W565" s="996"/>
      <c r="X565" s="996"/>
      <c r="Y565" s="996"/>
    </row>
    <row r="566" spans="1:25" x14ac:dyDescent="0.2">
      <c r="A566" s="995"/>
      <c r="B566" s="995"/>
      <c r="C566" s="995"/>
      <c r="D566" s="995"/>
      <c r="E566" s="995"/>
      <c r="R566" s="996"/>
      <c r="S566" s="996"/>
      <c r="T566" s="996"/>
      <c r="U566" s="996"/>
      <c r="V566" s="996"/>
      <c r="W566" s="996"/>
      <c r="X566" s="996"/>
      <c r="Y566" s="996"/>
    </row>
    <row r="567" spans="1:25" x14ac:dyDescent="0.2">
      <c r="A567" s="995"/>
      <c r="B567" s="995"/>
      <c r="C567" s="995"/>
      <c r="D567" s="995"/>
      <c r="E567" s="995"/>
      <c r="R567" s="996"/>
      <c r="S567" s="996"/>
      <c r="T567" s="996"/>
      <c r="U567" s="996"/>
      <c r="V567" s="996"/>
      <c r="W567" s="996"/>
      <c r="X567" s="996"/>
      <c r="Y567" s="996"/>
    </row>
    <row r="568" spans="1:25" x14ac:dyDescent="0.2">
      <c r="A568" s="995"/>
      <c r="B568" s="995"/>
      <c r="C568" s="995"/>
      <c r="D568" s="995"/>
      <c r="E568" s="995"/>
      <c r="R568" s="996"/>
      <c r="S568" s="996"/>
      <c r="T568" s="996"/>
      <c r="U568" s="996"/>
      <c r="V568" s="996"/>
      <c r="W568" s="996"/>
      <c r="X568" s="996"/>
      <c r="Y568" s="996"/>
    </row>
    <row r="569" spans="1:25" x14ac:dyDescent="0.2">
      <c r="A569" s="995"/>
      <c r="B569" s="995"/>
      <c r="C569" s="995"/>
      <c r="D569" s="995"/>
      <c r="E569" s="995"/>
      <c r="R569" s="996"/>
      <c r="S569" s="996"/>
      <c r="T569" s="996"/>
      <c r="U569" s="996"/>
      <c r="V569" s="996"/>
      <c r="W569" s="996"/>
      <c r="X569" s="996"/>
      <c r="Y569" s="996"/>
    </row>
    <row r="570" spans="1:25" x14ac:dyDescent="0.2">
      <c r="A570" s="995"/>
      <c r="B570" s="995"/>
      <c r="C570" s="995"/>
      <c r="D570" s="995"/>
      <c r="E570" s="995"/>
      <c r="R570" s="996"/>
      <c r="S570" s="996"/>
      <c r="T570" s="996"/>
      <c r="U570" s="996"/>
      <c r="V570" s="996"/>
      <c r="W570" s="996"/>
      <c r="X570" s="996"/>
      <c r="Y570" s="996"/>
    </row>
    <row r="571" spans="1:25" x14ac:dyDescent="0.2">
      <c r="A571" s="995"/>
      <c r="B571" s="995"/>
      <c r="C571" s="995"/>
      <c r="D571" s="995"/>
      <c r="E571" s="995"/>
      <c r="R571" s="996"/>
      <c r="S571" s="996"/>
      <c r="T571" s="996"/>
      <c r="U571" s="996"/>
      <c r="V571" s="996"/>
      <c r="W571" s="996"/>
      <c r="X571" s="996"/>
      <c r="Y571" s="996"/>
    </row>
    <row r="572" spans="1:25" x14ac:dyDescent="0.2">
      <c r="A572" s="995"/>
      <c r="B572" s="995"/>
      <c r="C572" s="995"/>
      <c r="D572" s="995"/>
      <c r="E572" s="995"/>
      <c r="R572" s="996"/>
      <c r="S572" s="996"/>
      <c r="T572" s="996"/>
      <c r="U572" s="996"/>
      <c r="V572" s="996"/>
      <c r="W572" s="996"/>
      <c r="X572" s="996"/>
      <c r="Y572" s="996"/>
    </row>
    <row r="573" spans="1:25" x14ac:dyDescent="0.2">
      <c r="A573" s="995"/>
      <c r="B573" s="995"/>
      <c r="C573" s="995"/>
      <c r="D573" s="995"/>
      <c r="E573" s="995"/>
      <c r="R573" s="996"/>
      <c r="S573" s="996"/>
      <c r="T573" s="996"/>
      <c r="U573" s="996"/>
      <c r="V573" s="996"/>
      <c r="W573" s="996"/>
      <c r="X573" s="996"/>
      <c r="Y573" s="996"/>
    </row>
    <row r="574" spans="1:25" x14ac:dyDescent="0.2">
      <c r="A574" s="995"/>
      <c r="B574" s="995"/>
      <c r="C574" s="995"/>
      <c r="D574" s="995"/>
      <c r="E574" s="995"/>
      <c r="R574" s="996"/>
      <c r="S574" s="996"/>
      <c r="T574" s="996"/>
      <c r="U574" s="996"/>
      <c r="V574" s="996"/>
      <c r="W574" s="996"/>
      <c r="X574" s="996"/>
      <c r="Y574" s="996"/>
    </row>
    <row r="575" spans="1:25" x14ac:dyDescent="0.2">
      <c r="A575" s="995"/>
      <c r="B575" s="995"/>
      <c r="C575" s="995"/>
      <c r="D575" s="995"/>
      <c r="E575" s="995"/>
      <c r="R575" s="996"/>
      <c r="S575" s="996"/>
      <c r="T575" s="996"/>
      <c r="U575" s="996"/>
      <c r="V575" s="996"/>
      <c r="W575" s="996"/>
      <c r="X575" s="996"/>
      <c r="Y575" s="996"/>
    </row>
    <row r="576" spans="1:25" x14ac:dyDescent="0.2">
      <c r="A576" s="995"/>
      <c r="B576" s="995"/>
      <c r="C576" s="995"/>
      <c r="D576" s="995"/>
      <c r="E576" s="995"/>
      <c r="R576" s="996"/>
      <c r="S576" s="996"/>
      <c r="T576" s="996"/>
      <c r="U576" s="996"/>
      <c r="V576" s="996"/>
      <c r="W576" s="996"/>
      <c r="X576" s="996"/>
      <c r="Y576" s="996"/>
    </row>
    <row r="577" spans="1:25" x14ac:dyDescent="0.2">
      <c r="A577" s="995"/>
      <c r="B577" s="995"/>
      <c r="C577" s="995"/>
      <c r="D577" s="995"/>
      <c r="E577" s="995"/>
      <c r="R577" s="996"/>
      <c r="S577" s="996"/>
      <c r="T577" s="996"/>
      <c r="U577" s="996"/>
      <c r="V577" s="996"/>
      <c r="W577" s="996"/>
      <c r="X577" s="996"/>
      <c r="Y577" s="996"/>
    </row>
    <row r="578" spans="1:25" x14ac:dyDescent="0.2">
      <c r="A578" s="995"/>
      <c r="B578" s="995"/>
      <c r="C578" s="995"/>
      <c r="D578" s="995"/>
      <c r="E578" s="995"/>
      <c r="R578" s="996"/>
      <c r="S578" s="996"/>
      <c r="T578" s="996"/>
      <c r="U578" s="996"/>
      <c r="V578" s="996"/>
      <c r="W578" s="996"/>
      <c r="X578" s="996"/>
      <c r="Y578" s="996"/>
    </row>
    <row r="579" spans="1:25" x14ac:dyDescent="0.2">
      <c r="A579" s="995"/>
      <c r="B579" s="995"/>
      <c r="C579" s="995"/>
      <c r="D579" s="995"/>
      <c r="E579" s="995"/>
      <c r="R579" s="996"/>
      <c r="S579" s="996"/>
      <c r="T579" s="996"/>
      <c r="U579" s="996"/>
      <c r="V579" s="996"/>
      <c r="W579" s="996"/>
      <c r="X579" s="996"/>
      <c r="Y579" s="996"/>
    </row>
    <row r="580" spans="1:25" x14ac:dyDescent="0.2">
      <c r="A580" s="995"/>
      <c r="B580" s="995"/>
      <c r="C580" s="995"/>
      <c r="D580" s="995"/>
      <c r="E580" s="995"/>
      <c r="R580" s="996"/>
      <c r="S580" s="996"/>
      <c r="T580" s="996"/>
      <c r="U580" s="996"/>
      <c r="V580" s="996"/>
      <c r="W580" s="996"/>
      <c r="X580" s="996"/>
      <c r="Y580" s="996"/>
    </row>
    <row r="581" spans="1:25" x14ac:dyDescent="0.2">
      <c r="A581" s="995"/>
      <c r="B581" s="995"/>
      <c r="C581" s="995"/>
      <c r="D581" s="995"/>
      <c r="E581" s="995"/>
      <c r="R581" s="996"/>
      <c r="S581" s="996"/>
      <c r="T581" s="996"/>
      <c r="U581" s="996"/>
      <c r="V581" s="996"/>
      <c r="W581" s="996"/>
      <c r="X581" s="996"/>
      <c r="Y581" s="996"/>
    </row>
    <row r="582" spans="1:25" x14ac:dyDescent="0.2">
      <c r="A582" s="995"/>
      <c r="B582" s="995"/>
      <c r="C582" s="995"/>
      <c r="D582" s="995"/>
      <c r="E582" s="995"/>
      <c r="R582" s="996"/>
      <c r="S582" s="996"/>
      <c r="T582" s="996"/>
      <c r="U582" s="996"/>
      <c r="V582" s="996"/>
      <c r="W582" s="996"/>
      <c r="X582" s="996"/>
      <c r="Y582" s="996"/>
    </row>
    <row r="583" spans="1:25" x14ac:dyDescent="0.2">
      <c r="A583" s="995"/>
      <c r="B583" s="995"/>
      <c r="C583" s="995"/>
      <c r="D583" s="995"/>
      <c r="E583" s="995"/>
      <c r="R583" s="996"/>
      <c r="S583" s="996"/>
      <c r="T583" s="996"/>
      <c r="U583" s="996"/>
      <c r="V583" s="996"/>
      <c r="W583" s="996"/>
      <c r="X583" s="996"/>
      <c r="Y583" s="996"/>
    </row>
    <row r="584" spans="1:25" x14ac:dyDescent="0.2">
      <c r="A584" s="995"/>
      <c r="B584" s="995"/>
      <c r="C584" s="995"/>
      <c r="D584" s="995"/>
      <c r="E584" s="995"/>
      <c r="R584" s="996"/>
      <c r="S584" s="996"/>
      <c r="T584" s="996"/>
      <c r="U584" s="996"/>
      <c r="V584" s="996"/>
      <c r="W584" s="996"/>
      <c r="X584" s="996"/>
      <c r="Y584" s="996"/>
    </row>
    <row r="585" spans="1:25" x14ac:dyDescent="0.2">
      <c r="A585" s="995"/>
      <c r="B585" s="995"/>
      <c r="C585" s="995"/>
      <c r="D585" s="995"/>
      <c r="E585" s="995"/>
      <c r="R585" s="996"/>
      <c r="S585" s="996"/>
      <c r="T585" s="996"/>
      <c r="U585" s="996"/>
      <c r="V585" s="996"/>
      <c r="W585" s="996"/>
      <c r="X585" s="996"/>
      <c r="Y585" s="996"/>
    </row>
    <row r="586" spans="1:25" x14ac:dyDescent="0.2">
      <c r="A586" s="995"/>
      <c r="B586" s="995"/>
      <c r="C586" s="995"/>
      <c r="D586" s="995"/>
      <c r="E586" s="995"/>
      <c r="R586" s="996"/>
      <c r="S586" s="996"/>
      <c r="T586" s="996"/>
      <c r="U586" s="996"/>
      <c r="V586" s="996"/>
      <c r="W586" s="996"/>
      <c r="X586" s="996"/>
      <c r="Y586" s="996"/>
    </row>
    <row r="587" spans="1:25" x14ac:dyDescent="0.2">
      <c r="A587" s="995"/>
      <c r="B587" s="995"/>
      <c r="C587" s="995"/>
      <c r="D587" s="995"/>
      <c r="E587" s="995"/>
      <c r="R587" s="996"/>
      <c r="S587" s="996"/>
      <c r="T587" s="996"/>
      <c r="U587" s="996"/>
      <c r="V587" s="996"/>
      <c r="W587" s="996"/>
      <c r="X587" s="996"/>
      <c r="Y587" s="996"/>
    </row>
    <row r="588" spans="1:25" x14ac:dyDescent="0.2">
      <c r="A588" s="995"/>
      <c r="B588" s="995"/>
      <c r="C588" s="995"/>
      <c r="D588" s="995"/>
      <c r="E588" s="995"/>
      <c r="R588" s="996"/>
      <c r="S588" s="996"/>
      <c r="T588" s="996"/>
      <c r="U588" s="996"/>
      <c r="V588" s="996"/>
      <c r="W588" s="996"/>
      <c r="X588" s="996"/>
      <c r="Y588" s="996"/>
    </row>
    <row r="589" spans="1:25" x14ac:dyDescent="0.2">
      <c r="A589" s="995"/>
      <c r="B589" s="995"/>
      <c r="C589" s="995"/>
      <c r="D589" s="995"/>
      <c r="E589" s="995"/>
      <c r="R589" s="996"/>
      <c r="S589" s="996"/>
      <c r="T589" s="996"/>
      <c r="U589" s="996"/>
      <c r="V589" s="996"/>
      <c r="W589" s="996"/>
      <c r="X589" s="996"/>
      <c r="Y589" s="996"/>
    </row>
    <row r="590" spans="1:25" x14ac:dyDescent="0.2">
      <c r="A590" s="995"/>
      <c r="B590" s="995"/>
      <c r="C590" s="995"/>
      <c r="D590" s="995"/>
      <c r="E590" s="995"/>
      <c r="R590" s="996"/>
      <c r="S590" s="996"/>
      <c r="T590" s="996"/>
      <c r="U590" s="996"/>
      <c r="V590" s="996"/>
      <c r="W590" s="996"/>
      <c r="X590" s="996"/>
      <c r="Y590" s="996"/>
    </row>
    <row r="591" spans="1:25" x14ac:dyDescent="0.2">
      <c r="A591" s="995"/>
      <c r="B591" s="995"/>
      <c r="C591" s="995"/>
      <c r="D591" s="995"/>
      <c r="E591" s="995"/>
      <c r="R591" s="996"/>
      <c r="S591" s="996"/>
      <c r="T591" s="996"/>
      <c r="U591" s="996"/>
      <c r="V591" s="996"/>
      <c r="W591" s="996"/>
      <c r="X591" s="996"/>
      <c r="Y591" s="996"/>
    </row>
    <row r="592" spans="1:25" x14ac:dyDescent="0.2">
      <c r="A592" s="995"/>
      <c r="B592" s="995"/>
      <c r="C592" s="995"/>
      <c r="D592" s="995"/>
      <c r="E592" s="995"/>
      <c r="R592" s="996"/>
      <c r="S592" s="996"/>
      <c r="T592" s="996"/>
      <c r="U592" s="996"/>
      <c r="V592" s="996"/>
      <c r="W592" s="996"/>
      <c r="X592" s="996"/>
      <c r="Y592" s="996"/>
    </row>
    <row r="593" spans="1:25" x14ac:dyDescent="0.2">
      <c r="A593" s="995"/>
      <c r="B593" s="995"/>
      <c r="C593" s="995"/>
      <c r="D593" s="995"/>
      <c r="E593" s="995"/>
      <c r="R593" s="996"/>
      <c r="S593" s="996"/>
      <c r="T593" s="996"/>
      <c r="U593" s="996"/>
      <c r="V593" s="996"/>
      <c r="W593" s="996"/>
      <c r="X593" s="996"/>
      <c r="Y593" s="996"/>
    </row>
    <row r="594" spans="1:25" x14ac:dyDescent="0.2">
      <c r="A594" s="995"/>
      <c r="B594" s="995"/>
      <c r="C594" s="995"/>
      <c r="D594" s="995"/>
      <c r="E594" s="995"/>
      <c r="R594" s="996"/>
      <c r="S594" s="996"/>
      <c r="T594" s="996"/>
      <c r="U594" s="996"/>
      <c r="V594" s="996"/>
      <c r="W594" s="996"/>
      <c r="X594" s="996"/>
      <c r="Y594" s="996"/>
    </row>
    <row r="595" spans="1:25" x14ac:dyDescent="0.2">
      <c r="A595" s="995"/>
      <c r="B595" s="995"/>
      <c r="C595" s="995"/>
      <c r="D595" s="995"/>
      <c r="E595" s="995"/>
      <c r="R595" s="996"/>
      <c r="S595" s="996"/>
      <c r="T595" s="996"/>
      <c r="U595" s="996"/>
      <c r="V595" s="996"/>
      <c r="W595" s="996"/>
      <c r="X595" s="996"/>
      <c r="Y595" s="996"/>
    </row>
    <row r="596" spans="1:25" x14ac:dyDescent="0.2">
      <c r="A596" s="995"/>
      <c r="B596" s="995"/>
      <c r="C596" s="995"/>
      <c r="D596" s="995"/>
      <c r="E596" s="995"/>
      <c r="R596" s="996"/>
      <c r="S596" s="996"/>
      <c r="T596" s="996"/>
      <c r="U596" s="996"/>
      <c r="V596" s="996"/>
      <c r="W596" s="996"/>
      <c r="X596" s="996"/>
      <c r="Y596" s="996"/>
    </row>
    <row r="597" spans="1:25" x14ac:dyDescent="0.2">
      <c r="A597" s="995"/>
      <c r="B597" s="995"/>
      <c r="C597" s="995"/>
      <c r="D597" s="995"/>
      <c r="E597" s="995"/>
      <c r="R597" s="996"/>
      <c r="S597" s="996"/>
      <c r="T597" s="996"/>
      <c r="U597" s="996"/>
      <c r="V597" s="996"/>
      <c r="W597" s="996"/>
      <c r="X597" s="996"/>
      <c r="Y597" s="996"/>
    </row>
    <row r="598" spans="1:25" x14ac:dyDescent="0.2">
      <c r="A598" s="995"/>
      <c r="B598" s="995"/>
      <c r="C598" s="995"/>
      <c r="D598" s="995"/>
      <c r="E598" s="995"/>
      <c r="R598" s="996"/>
      <c r="S598" s="996"/>
      <c r="T598" s="996"/>
      <c r="U598" s="996"/>
      <c r="V598" s="996"/>
      <c r="W598" s="996"/>
      <c r="X598" s="996"/>
      <c r="Y598" s="996"/>
    </row>
    <row r="599" spans="1:25" x14ac:dyDescent="0.2">
      <c r="A599" s="995"/>
      <c r="B599" s="995"/>
      <c r="C599" s="995"/>
      <c r="D599" s="995"/>
      <c r="E599" s="995"/>
      <c r="R599" s="996"/>
      <c r="S599" s="996"/>
      <c r="T599" s="996"/>
      <c r="U599" s="996"/>
      <c r="V599" s="996"/>
      <c r="W599" s="996"/>
      <c r="X599" s="996"/>
      <c r="Y599" s="996"/>
    </row>
    <row r="600" spans="1:25" x14ac:dyDescent="0.2">
      <c r="A600" s="995"/>
      <c r="B600" s="995"/>
      <c r="C600" s="995"/>
      <c r="D600" s="995"/>
      <c r="E600" s="995"/>
      <c r="R600" s="996"/>
      <c r="S600" s="996"/>
      <c r="T600" s="996"/>
      <c r="U600" s="996"/>
      <c r="V600" s="996"/>
      <c r="W600" s="996"/>
      <c r="X600" s="996"/>
      <c r="Y600" s="996"/>
    </row>
    <row r="601" spans="1:25" x14ac:dyDescent="0.2">
      <c r="A601" s="995"/>
      <c r="B601" s="995"/>
      <c r="C601" s="995"/>
      <c r="D601" s="995"/>
      <c r="E601" s="995"/>
      <c r="R601" s="996"/>
      <c r="S601" s="996"/>
      <c r="T601" s="996"/>
      <c r="U601" s="996"/>
      <c r="V601" s="996"/>
      <c r="W601" s="996"/>
      <c r="X601" s="996"/>
      <c r="Y601" s="996"/>
    </row>
    <row r="602" spans="1:25" x14ac:dyDescent="0.2">
      <c r="A602" s="995"/>
      <c r="B602" s="995"/>
      <c r="C602" s="995"/>
      <c r="D602" s="995"/>
      <c r="E602" s="995"/>
      <c r="R602" s="996"/>
      <c r="S602" s="996"/>
      <c r="T602" s="996"/>
      <c r="U602" s="996"/>
      <c r="V602" s="996"/>
      <c r="W602" s="996"/>
      <c r="X602" s="996"/>
      <c r="Y602" s="996"/>
    </row>
    <row r="603" spans="1:25" x14ac:dyDescent="0.2">
      <c r="A603" s="995"/>
      <c r="B603" s="995"/>
      <c r="C603" s="995"/>
      <c r="D603" s="995"/>
      <c r="E603" s="995"/>
      <c r="R603" s="996"/>
      <c r="S603" s="996"/>
      <c r="T603" s="996"/>
      <c r="U603" s="996"/>
      <c r="V603" s="996"/>
      <c r="W603" s="996"/>
      <c r="X603" s="996"/>
      <c r="Y603" s="996"/>
    </row>
    <row r="604" spans="1:25" x14ac:dyDescent="0.2">
      <c r="A604" s="995"/>
      <c r="B604" s="995"/>
      <c r="C604" s="995"/>
      <c r="D604" s="995"/>
      <c r="E604" s="995"/>
      <c r="R604" s="996"/>
      <c r="S604" s="996"/>
      <c r="T604" s="996"/>
      <c r="U604" s="996"/>
      <c r="V604" s="996"/>
      <c r="W604" s="996"/>
      <c r="X604" s="996"/>
      <c r="Y604" s="996"/>
    </row>
    <row r="605" spans="1:25" x14ac:dyDescent="0.2">
      <c r="A605" s="995"/>
      <c r="B605" s="995"/>
      <c r="C605" s="995"/>
      <c r="D605" s="995"/>
      <c r="E605" s="995"/>
      <c r="R605" s="996"/>
      <c r="S605" s="996"/>
      <c r="T605" s="996"/>
      <c r="U605" s="996"/>
      <c r="V605" s="996"/>
      <c r="W605" s="996"/>
      <c r="X605" s="996"/>
      <c r="Y605" s="996"/>
    </row>
    <row r="606" spans="1:25" x14ac:dyDescent="0.2">
      <c r="A606" s="995"/>
      <c r="B606" s="995"/>
      <c r="C606" s="995"/>
      <c r="D606" s="995"/>
      <c r="E606" s="995"/>
      <c r="R606" s="996"/>
      <c r="S606" s="996"/>
      <c r="T606" s="996"/>
      <c r="U606" s="996"/>
      <c r="V606" s="996"/>
      <c r="W606" s="996"/>
      <c r="X606" s="996"/>
      <c r="Y606" s="996"/>
    </row>
    <row r="607" spans="1:25" x14ac:dyDescent="0.2">
      <c r="A607" s="995"/>
      <c r="B607" s="995"/>
      <c r="C607" s="995"/>
      <c r="D607" s="995"/>
      <c r="E607" s="995"/>
      <c r="R607" s="996"/>
      <c r="S607" s="996"/>
      <c r="T607" s="996"/>
      <c r="U607" s="996"/>
      <c r="V607" s="996"/>
      <c r="W607" s="996"/>
      <c r="X607" s="996"/>
      <c r="Y607" s="996"/>
    </row>
    <row r="608" spans="1:25" x14ac:dyDescent="0.2">
      <c r="A608" s="995"/>
      <c r="B608" s="995"/>
      <c r="C608" s="995"/>
      <c r="D608" s="995"/>
      <c r="E608" s="995"/>
      <c r="R608" s="996"/>
      <c r="S608" s="996"/>
      <c r="T608" s="996"/>
      <c r="U608" s="996"/>
      <c r="V608" s="996"/>
      <c r="W608" s="996"/>
      <c r="X608" s="996"/>
      <c r="Y608" s="996"/>
    </row>
    <row r="609" spans="1:25" x14ac:dyDescent="0.2">
      <c r="A609" s="995"/>
      <c r="B609" s="995"/>
      <c r="C609" s="995"/>
      <c r="D609" s="995"/>
      <c r="E609" s="995"/>
      <c r="R609" s="996"/>
      <c r="S609" s="996"/>
      <c r="T609" s="996"/>
      <c r="U609" s="996"/>
      <c r="V609" s="996"/>
      <c r="W609" s="996"/>
      <c r="X609" s="996"/>
      <c r="Y609" s="996"/>
    </row>
    <row r="610" spans="1:25" x14ac:dyDescent="0.2">
      <c r="A610" s="995"/>
      <c r="B610" s="995"/>
      <c r="C610" s="995"/>
      <c r="D610" s="995"/>
      <c r="E610" s="995"/>
      <c r="R610" s="996"/>
      <c r="S610" s="996"/>
      <c r="T610" s="996"/>
      <c r="U610" s="996"/>
      <c r="V610" s="996"/>
      <c r="W610" s="996"/>
      <c r="X610" s="996"/>
      <c r="Y610" s="996"/>
    </row>
    <row r="611" spans="1:25" x14ac:dyDescent="0.2">
      <c r="A611" s="995"/>
      <c r="B611" s="995"/>
      <c r="C611" s="995"/>
      <c r="D611" s="995"/>
      <c r="E611" s="995"/>
      <c r="R611" s="996"/>
      <c r="S611" s="996"/>
      <c r="T611" s="996"/>
      <c r="U611" s="996"/>
      <c r="V611" s="996"/>
      <c r="W611" s="996"/>
      <c r="X611" s="996"/>
      <c r="Y611" s="996"/>
    </row>
    <row r="612" spans="1:25" x14ac:dyDescent="0.2">
      <c r="A612" s="995"/>
      <c r="B612" s="995"/>
      <c r="C612" s="995"/>
      <c r="D612" s="995"/>
      <c r="E612" s="995"/>
      <c r="R612" s="996"/>
      <c r="S612" s="996"/>
      <c r="T612" s="996"/>
      <c r="U612" s="996"/>
      <c r="V612" s="996"/>
      <c r="W612" s="996"/>
      <c r="X612" s="996"/>
      <c r="Y612" s="996"/>
    </row>
    <row r="613" spans="1:25" x14ac:dyDescent="0.2">
      <c r="A613" s="995"/>
      <c r="B613" s="995"/>
      <c r="C613" s="995"/>
      <c r="D613" s="995"/>
      <c r="E613" s="995"/>
      <c r="R613" s="996"/>
      <c r="S613" s="996"/>
      <c r="T613" s="996"/>
      <c r="U613" s="996"/>
      <c r="V613" s="996"/>
      <c r="W613" s="996"/>
      <c r="X613" s="996"/>
      <c r="Y613" s="996"/>
    </row>
    <row r="614" spans="1:25" x14ac:dyDescent="0.2">
      <c r="A614" s="995"/>
      <c r="B614" s="995"/>
      <c r="C614" s="995"/>
      <c r="D614" s="995"/>
      <c r="E614" s="995"/>
      <c r="R614" s="996"/>
      <c r="S614" s="996"/>
      <c r="T614" s="996"/>
      <c r="U614" s="996"/>
      <c r="V614" s="996"/>
      <c r="W614" s="996"/>
      <c r="X614" s="996"/>
      <c r="Y614" s="996"/>
    </row>
    <row r="615" spans="1:25" x14ac:dyDescent="0.2">
      <c r="A615" s="995"/>
      <c r="B615" s="995"/>
      <c r="C615" s="995"/>
      <c r="D615" s="995"/>
      <c r="E615" s="995"/>
      <c r="R615" s="996"/>
      <c r="S615" s="996"/>
      <c r="T615" s="996"/>
      <c r="U615" s="996"/>
      <c r="V615" s="996"/>
      <c r="W615" s="996"/>
      <c r="X615" s="996"/>
      <c r="Y615" s="996"/>
    </row>
    <row r="616" spans="1:25" x14ac:dyDescent="0.2">
      <c r="A616" s="995"/>
      <c r="B616" s="995"/>
      <c r="C616" s="995"/>
      <c r="D616" s="995"/>
      <c r="E616" s="995"/>
      <c r="R616" s="996"/>
      <c r="S616" s="996"/>
      <c r="T616" s="996"/>
      <c r="U616" s="996"/>
      <c r="V616" s="996"/>
      <c r="W616" s="996"/>
      <c r="X616" s="996"/>
      <c r="Y616" s="996"/>
    </row>
    <row r="617" spans="1:25" x14ac:dyDescent="0.2">
      <c r="A617" s="995"/>
      <c r="B617" s="995"/>
      <c r="C617" s="995"/>
      <c r="D617" s="995"/>
      <c r="E617" s="995"/>
      <c r="R617" s="996"/>
      <c r="S617" s="996"/>
      <c r="T617" s="996"/>
      <c r="U617" s="996"/>
      <c r="V617" s="996"/>
      <c r="W617" s="996"/>
      <c r="X617" s="996"/>
      <c r="Y617" s="996"/>
    </row>
    <row r="618" spans="1:25" x14ac:dyDescent="0.2">
      <c r="A618" s="995"/>
      <c r="B618" s="995"/>
      <c r="C618" s="995"/>
      <c r="D618" s="995"/>
      <c r="E618" s="995"/>
      <c r="R618" s="996"/>
      <c r="S618" s="996"/>
      <c r="T618" s="996"/>
      <c r="U618" s="996"/>
      <c r="V618" s="996"/>
      <c r="W618" s="996"/>
      <c r="X618" s="996"/>
      <c r="Y618" s="996"/>
    </row>
    <row r="619" spans="1:25" x14ac:dyDescent="0.2">
      <c r="A619" s="995"/>
      <c r="B619" s="995"/>
      <c r="C619" s="995"/>
      <c r="D619" s="995"/>
      <c r="E619" s="995"/>
      <c r="R619" s="996"/>
      <c r="S619" s="996"/>
      <c r="T619" s="996"/>
      <c r="U619" s="996"/>
      <c r="V619" s="996"/>
      <c r="W619" s="996"/>
      <c r="X619" s="996"/>
      <c r="Y619" s="996"/>
    </row>
    <row r="620" spans="1:25" x14ac:dyDescent="0.2">
      <c r="A620" s="995"/>
      <c r="B620" s="995"/>
      <c r="C620" s="995"/>
      <c r="D620" s="995"/>
      <c r="E620" s="995"/>
      <c r="R620" s="996"/>
      <c r="S620" s="996"/>
      <c r="T620" s="996"/>
      <c r="U620" s="996"/>
      <c r="V620" s="996"/>
      <c r="W620" s="996"/>
      <c r="X620" s="996"/>
      <c r="Y620" s="996"/>
    </row>
    <row r="621" spans="1:25" x14ac:dyDescent="0.2">
      <c r="A621" s="995"/>
      <c r="B621" s="995"/>
      <c r="C621" s="995"/>
      <c r="D621" s="995"/>
      <c r="E621" s="995"/>
      <c r="R621" s="996"/>
      <c r="S621" s="996"/>
      <c r="T621" s="996"/>
      <c r="U621" s="996"/>
      <c r="V621" s="996"/>
      <c r="W621" s="996"/>
      <c r="X621" s="996"/>
      <c r="Y621" s="996"/>
    </row>
    <row r="622" spans="1:25" x14ac:dyDescent="0.2">
      <c r="A622" s="995"/>
      <c r="B622" s="995"/>
      <c r="C622" s="995"/>
      <c r="D622" s="995"/>
      <c r="E622" s="995"/>
      <c r="R622" s="996"/>
      <c r="S622" s="996"/>
      <c r="T622" s="996"/>
      <c r="U622" s="996"/>
      <c r="V622" s="996"/>
      <c r="W622" s="996"/>
      <c r="X622" s="996"/>
      <c r="Y622" s="996"/>
    </row>
    <row r="623" spans="1:25" x14ac:dyDescent="0.2">
      <c r="A623" s="995"/>
      <c r="B623" s="995"/>
      <c r="C623" s="995"/>
      <c r="D623" s="995"/>
      <c r="E623" s="995"/>
      <c r="R623" s="996"/>
      <c r="S623" s="996"/>
      <c r="T623" s="996"/>
      <c r="U623" s="996"/>
      <c r="V623" s="996"/>
      <c r="W623" s="996"/>
      <c r="X623" s="996"/>
      <c r="Y623" s="996"/>
    </row>
    <row r="624" spans="1:25" x14ac:dyDescent="0.2">
      <c r="A624" s="995"/>
      <c r="B624" s="995"/>
      <c r="C624" s="995"/>
      <c r="D624" s="995"/>
      <c r="E624" s="995"/>
      <c r="R624" s="996"/>
      <c r="S624" s="996"/>
      <c r="T624" s="996"/>
      <c r="U624" s="996"/>
      <c r="V624" s="996"/>
      <c r="W624" s="996"/>
      <c r="X624" s="996"/>
      <c r="Y624" s="996"/>
    </row>
    <row r="625" spans="1:25" x14ac:dyDescent="0.2">
      <c r="A625" s="995"/>
      <c r="B625" s="995"/>
      <c r="C625" s="995"/>
      <c r="D625" s="995"/>
      <c r="E625" s="995"/>
      <c r="R625" s="996"/>
      <c r="S625" s="996"/>
      <c r="T625" s="996"/>
      <c r="U625" s="996"/>
      <c r="V625" s="996"/>
      <c r="W625" s="996"/>
      <c r="X625" s="996"/>
      <c r="Y625" s="996"/>
    </row>
    <row r="626" spans="1:25" x14ac:dyDescent="0.2">
      <c r="A626" s="995"/>
      <c r="B626" s="995"/>
      <c r="C626" s="995"/>
      <c r="D626" s="995"/>
      <c r="E626" s="995"/>
      <c r="R626" s="996"/>
      <c r="S626" s="996"/>
      <c r="T626" s="996"/>
      <c r="U626" s="996"/>
      <c r="V626" s="996"/>
      <c r="W626" s="996"/>
      <c r="X626" s="996"/>
      <c r="Y626" s="996"/>
    </row>
    <row r="627" spans="1:25" x14ac:dyDescent="0.2">
      <c r="A627" s="995"/>
      <c r="B627" s="995"/>
      <c r="C627" s="995"/>
      <c r="D627" s="995"/>
      <c r="E627" s="995"/>
      <c r="R627" s="996"/>
      <c r="S627" s="996"/>
      <c r="T627" s="996"/>
      <c r="U627" s="996"/>
      <c r="V627" s="996"/>
      <c r="W627" s="996"/>
      <c r="X627" s="996"/>
      <c r="Y627" s="996"/>
    </row>
    <row r="628" spans="1:25" x14ac:dyDescent="0.2">
      <c r="A628" s="995"/>
      <c r="B628" s="995"/>
      <c r="C628" s="995"/>
      <c r="D628" s="995"/>
      <c r="E628" s="995"/>
      <c r="R628" s="996"/>
      <c r="S628" s="996"/>
      <c r="T628" s="996"/>
      <c r="U628" s="996"/>
      <c r="V628" s="996"/>
      <c r="W628" s="996"/>
      <c r="X628" s="996"/>
      <c r="Y628" s="996"/>
    </row>
    <row r="629" spans="1:25" x14ac:dyDescent="0.2">
      <c r="A629" s="995"/>
      <c r="B629" s="995"/>
      <c r="C629" s="995"/>
      <c r="D629" s="995"/>
      <c r="E629" s="995"/>
      <c r="R629" s="996"/>
      <c r="S629" s="996"/>
      <c r="T629" s="996"/>
      <c r="U629" s="996"/>
      <c r="V629" s="996"/>
      <c r="W629" s="996"/>
      <c r="X629" s="996"/>
      <c r="Y629" s="996"/>
    </row>
    <row r="630" spans="1:25" x14ac:dyDescent="0.2">
      <c r="A630" s="995"/>
      <c r="B630" s="995"/>
      <c r="C630" s="995"/>
      <c r="D630" s="995"/>
      <c r="E630" s="995"/>
      <c r="R630" s="996"/>
      <c r="S630" s="996"/>
      <c r="T630" s="996"/>
      <c r="U630" s="996"/>
      <c r="V630" s="996"/>
      <c r="W630" s="996"/>
      <c r="X630" s="996"/>
      <c r="Y630" s="996"/>
    </row>
    <row r="631" spans="1:25" x14ac:dyDescent="0.2">
      <c r="A631" s="995"/>
      <c r="B631" s="995"/>
      <c r="C631" s="995"/>
      <c r="D631" s="995"/>
      <c r="E631" s="995"/>
      <c r="R631" s="996"/>
      <c r="S631" s="996"/>
      <c r="T631" s="996"/>
      <c r="U631" s="996"/>
      <c r="V631" s="996"/>
      <c r="W631" s="996"/>
      <c r="X631" s="996"/>
      <c r="Y631" s="996"/>
    </row>
    <row r="632" spans="1:25" x14ac:dyDescent="0.2">
      <c r="A632" s="995"/>
      <c r="B632" s="995"/>
      <c r="C632" s="995"/>
      <c r="D632" s="995"/>
      <c r="E632" s="995"/>
      <c r="R632" s="996"/>
      <c r="S632" s="996"/>
      <c r="T632" s="996"/>
      <c r="U632" s="996"/>
      <c r="V632" s="996"/>
      <c r="W632" s="996"/>
      <c r="X632" s="996"/>
      <c r="Y632" s="996"/>
    </row>
    <row r="633" spans="1:25" x14ac:dyDescent="0.2">
      <c r="A633" s="995"/>
      <c r="B633" s="995"/>
      <c r="C633" s="995"/>
      <c r="D633" s="995"/>
      <c r="E633" s="995"/>
      <c r="R633" s="996"/>
      <c r="S633" s="996"/>
      <c r="T633" s="996"/>
      <c r="U633" s="996"/>
      <c r="V633" s="996"/>
      <c r="W633" s="996"/>
      <c r="X633" s="996"/>
      <c r="Y633" s="996"/>
    </row>
    <row r="634" spans="1:25" x14ac:dyDescent="0.2">
      <c r="A634" s="995"/>
      <c r="B634" s="995"/>
      <c r="C634" s="995"/>
      <c r="D634" s="995"/>
      <c r="E634" s="995"/>
      <c r="R634" s="996"/>
      <c r="S634" s="996"/>
      <c r="T634" s="996"/>
      <c r="U634" s="996"/>
      <c r="V634" s="996"/>
      <c r="W634" s="996"/>
      <c r="X634" s="996"/>
      <c r="Y634" s="996"/>
    </row>
    <row r="635" spans="1:25" x14ac:dyDescent="0.2">
      <c r="A635" s="995"/>
      <c r="B635" s="995"/>
      <c r="C635" s="995"/>
      <c r="D635" s="995"/>
      <c r="E635" s="995"/>
      <c r="R635" s="996"/>
      <c r="S635" s="996"/>
      <c r="T635" s="996"/>
      <c r="U635" s="996"/>
      <c r="V635" s="996"/>
      <c r="W635" s="996"/>
      <c r="X635" s="996"/>
      <c r="Y635" s="996"/>
    </row>
    <row r="636" spans="1:25" x14ac:dyDescent="0.2">
      <c r="A636" s="995"/>
      <c r="B636" s="995"/>
      <c r="C636" s="995"/>
      <c r="D636" s="995"/>
      <c r="E636" s="995"/>
      <c r="R636" s="996"/>
      <c r="S636" s="996"/>
      <c r="T636" s="996"/>
      <c r="U636" s="996"/>
      <c r="V636" s="996"/>
      <c r="W636" s="996"/>
      <c r="X636" s="996"/>
      <c r="Y636" s="996"/>
    </row>
    <row r="637" spans="1:25" x14ac:dyDescent="0.2">
      <c r="A637" s="995"/>
      <c r="B637" s="995"/>
      <c r="C637" s="995"/>
      <c r="D637" s="995"/>
      <c r="E637" s="995"/>
      <c r="R637" s="996"/>
      <c r="S637" s="996"/>
      <c r="T637" s="996"/>
      <c r="U637" s="996"/>
      <c r="V637" s="996"/>
      <c r="W637" s="996"/>
      <c r="X637" s="996"/>
      <c r="Y637" s="996"/>
    </row>
    <row r="638" spans="1:25" x14ac:dyDescent="0.2">
      <c r="A638" s="995"/>
      <c r="B638" s="995"/>
      <c r="C638" s="995"/>
      <c r="D638" s="995"/>
      <c r="E638" s="995"/>
      <c r="R638" s="996"/>
      <c r="S638" s="996"/>
      <c r="T638" s="996"/>
      <c r="U638" s="996"/>
      <c r="V638" s="996"/>
      <c r="W638" s="996"/>
      <c r="X638" s="996"/>
      <c r="Y638" s="996"/>
    </row>
    <row r="639" spans="1:25" x14ac:dyDescent="0.2">
      <c r="A639" s="995"/>
      <c r="B639" s="995"/>
      <c r="C639" s="995"/>
      <c r="D639" s="995"/>
      <c r="E639" s="995"/>
      <c r="R639" s="996"/>
      <c r="S639" s="996"/>
      <c r="T639" s="996"/>
      <c r="U639" s="996"/>
      <c r="V639" s="996"/>
      <c r="W639" s="996"/>
      <c r="X639" s="996"/>
      <c r="Y639" s="996"/>
    </row>
    <row r="640" spans="1:25" x14ac:dyDescent="0.2">
      <c r="A640" s="995"/>
      <c r="B640" s="995"/>
      <c r="C640" s="995"/>
      <c r="D640" s="995"/>
      <c r="E640" s="995"/>
      <c r="R640" s="996"/>
      <c r="S640" s="996"/>
      <c r="T640" s="996"/>
      <c r="U640" s="996"/>
      <c r="V640" s="996"/>
      <c r="W640" s="996"/>
      <c r="X640" s="996"/>
      <c r="Y640" s="996"/>
    </row>
    <row r="641" spans="1:25" x14ac:dyDescent="0.2">
      <c r="A641" s="995"/>
      <c r="B641" s="995"/>
      <c r="C641" s="995"/>
      <c r="D641" s="995"/>
      <c r="E641" s="995"/>
      <c r="R641" s="996"/>
      <c r="S641" s="996"/>
      <c r="T641" s="996"/>
      <c r="U641" s="996"/>
      <c r="V641" s="996"/>
      <c r="W641" s="996"/>
      <c r="X641" s="996"/>
      <c r="Y641" s="996"/>
    </row>
    <row r="642" spans="1:25" x14ac:dyDescent="0.2">
      <c r="A642" s="995"/>
      <c r="B642" s="995"/>
      <c r="C642" s="995"/>
      <c r="D642" s="995"/>
      <c r="E642" s="995"/>
      <c r="R642" s="996"/>
      <c r="S642" s="996"/>
      <c r="T642" s="996"/>
      <c r="U642" s="996"/>
      <c r="V642" s="996"/>
      <c r="W642" s="996"/>
      <c r="X642" s="996"/>
      <c r="Y642" s="996"/>
    </row>
    <row r="643" spans="1:25" x14ac:dyDescent="0.2">
      <c r="A643" s="995"/>
      <c r="B643" s="995"/>
      <c r="C643" s="995"/>
      <c r="D643" s="995"/>
      <c r="E643" s="995"/>
      <c r="R643" s="996"/>
      <c r="S643" s="996"/>
      <c r="T643" s="996"/>
      <c r="U643" s="996"/>
      <c r="V643" s="996"/>
      <c r="W643" s="996"/>
      <c r="X643" s="996"/>
      <c r="Y643" s="996"/>
    </row>
    <row r="644" spans="1:25" x14ac:dyDescent="0.2">
      <c r="A644" s="995"/>
      <c r="B644" s="995"/>
      <c r="C644" s="995"/>
      <c r="D644" s="995"/>
      <c r="E644" s="995"/>
      <c r="R644" s="996"/>
      <c r="S644" s="996"/>
      <c r="T644" s="996"/>
      <c r="U644" s="996"/>
      <c r="V644" s="996"/>
      <c r="W644" s="996"/>
      <c r="X644" s="996"/>
      <c r="Y644" s="996"/>
    </row>
    <row r="645" spans="1:25" x14ac:dyDescent="0.2">
      <c r="A645" s="995"/>
      <c r="B645" s="995"/>
      <c r="C645" s="995"/>
      <c r="D645" s="995"/>
      <c r="E645" s="995"/>
      <c r="R645" s="996"/>
      <c r="S645" s="996"/>
      <c r="T645" s="996"/>
      <c r="U645" s="996"/>
      <c r="V645" s="996"/>
      <c r="W645" s="996"/>
      <c r="X645" s="996"/>
      <c r="Y645" s="996"/>
    </row>
    <row r="646" spans="1:25" x14ac:dyDescent="0.2">
      <c r="A646" s="995"/>
      <c r="B646" s="995"/>
      <c r="C646" s="995"/>
      <c r="D646" s="995"/>
      <c r="E646" s="995"/>
      <c r="R646" s="996"/>
      <c r="S646" s="996"/>
      <c r="T646" s="996"/>
      <c r="U646" s="996"/>
      <c r="V646" s="996"/>
      <c r="W646" s="996"/>
      <c r="X646" s="996"/>
      <c r="Y646" s="996"/>
    </row>
    <row r="647" spans="1:25" x14ac:dyDescent="0.2">
      <c r="A647" s="995"/>
      <c r="B647" s="995"/>
      <c r="C647" s="995"/>
      <c r="D647" s="995"/>
      <c r="E647" s="995"/>
      <c r="R647" s="996"/>
      <c r="S647" s="996"/>
      <c r="T647" s="996"/>
      <c r="U647" s="996"/>
      <c r="V647" s="996"/>
      <c r="W647" s="996"/>
      <c r="X647" s="996"/>
      <c r="Y647" s="996"/>
    </row>
    <row r="648" spans="1:25" x14ac:dyDescent="0.2">
      <c r="A648" s="995"/>
      <c r="B648" s="995"/>
      <c r="C648" s="995"/>
      <c r="D648" s="995"/>
      <c r="E648" s="995"/>
      <c r="R648" s="996"/>
      <c r="S648" s="996"/>
      <c r="T648" s="996"/>
      <c r="U648" s="996"/>
      <c r="V648" s="996"/>
      <c r="W648" s="996"/>
      <c r="X648" s="996"/>
      <c r="Y648" s="996"/>
    </row>
    <row r="649" spans="1:25" x14ac:dyDescent="0.2">
      <c r="A649" s="995"/>
      <c r="B649" s="995"/>
      <c r="C649" s="995"/>
      <c r="D649" s="995"/>
      <c r="E649" s="995"/>
      <c r="R649" s="996"/>
      <c r="S649" s="996"/>
      <c r="T649" s="996"/>
      <c r="U649" s="996"/>
      <c r="V649" s="996"/>
      <c r="W649" s="996"/>
      <c r="X649" s="996"/>
      <c r="Y649" s="996"/>
    </row>
    <row r="650" spans="1:25" x14ac:dyDescent="0.2">
      <c r="A650" s="995"/>
      <c r="B650" s="995"/>
      <c r="C650" s="995"/>
      <c r="D650" s="995"/>
      <c r="E650" s="995"/>
      <c r="R650" s="996"/>
      <c r="S650" s="996"/>
      <c r="T650" s="996"/>
      <c r="U650" s="996"/>
      <c r="V650" s="996"/>
      <c r="W650" s="996"/>
      <c r="X650" s="996"/>
      <c r="Y650" s="996"/>
    </row>
    <row r="651" spans="1:25" x14ac:dyDescent="0.2">
      <c r="A651" s="995"/>
      <c r="B651" s="995"/>
      <c r="C651" s="995"/>
      <c r="D651" s="995"/>
      <c r="E651" s="995"/>
      <c r="R651" s="996"/>
      <c r="S651" s="996"/>
      <c r="T651" s="996"/>
      <c r="U651" s="996"/>
      <c r="V651" s="996"/>
      <c r="W651" s="996"/>
      <c r="X651" s="996"/>
      <c r="Y651" s="996"/>
    </row>
    <row r="652" spans="1:25" x14ac:dyDescent="0.2">
      <c r="A652" s="995"/>
      <c r="B652" s="995"/>
      <c r="C652" s="995"/>
      <c r="D652" s="995"/>
      <c r="E652" s="995"/>
      <c r="R652" s="996"/>
      <c r="S652" s="996"/>
      <c r="T652" s="996"/>
      <c r="U652" s="996"/>
      <c r="V652" s="996"/>
      <c r="W652" s="996"/>
      <c r="X652" s="996"/>
      <c r="Y652" s="996"/>
    </row>
    <row r="653" spans="1:25" x14ac:dyDescent="0.2">
      <c r="A653" s="995"/>
      <c r="B653" s="995"/>
      <c r="C653" s="995"/>
      <c r="D653" s="995"/>
      <c r="E653" s="995"/>
      <c r="R653" s="996"/>
      <c r="S653" s="996"/>
      <c r="T653" s="996"/>
      <c r="U653" s="996"/>
      <c r="V653" s="996"/>
      <c r="W653" s="996"/>
      <c r="X653" s="996"/>
      <c r="Y653" s="996"/>
    </row>
    <row r="654" spans="1:25" x14ac:dyDescent="0.2">
      <c r="A654" s="995"/>
      <c r="B654" s="995"/>
      <c r="C654" s="995"/>
      <c r="D654" s="995"/>
      <c r="E654" s="995"/>
      <c r="R654" s="996"/>
      <c r="S654" s="996"/>
      <c r="T654" s="996"/>
      <c r="U654" s="996"/>
      <c r="V654" s="996"/>
      <c r="W654" s="996"/>
      <c r="X654" s="996"/>
      <c r="Y654" s="996"/>
    </row>
    <row r="655" spans="1:25" x14ac:dyDescent="0.2">
      <c r="A655" s="995"/>
      <c r="B655" s="995"/>
      <c r="C655" s="995"/>
      <c r="D655" s="995"/>
      <c r="E655" s="995"/>
      <c r="R655" s="996"/>
      <c r="S655" s="996"/>
      <c r="T655" s="996"/>
      <c r="U655" s="996"/>
      <c r="V655" s="996"/>
      <c r="W655" s="996"/>
      <c r="X655" s="996"/>
      <c r="Y655" s="996"/>
    </row>
    <row r="656" spans="1:25" x14ac:dyDescent="0.2">
      <c r="A656" s="995"/>
      <c r="B656" s="995"/>
      <c r="C656" s="995"/>
      <c r="D656" s="995"/>
      <c r="E656" s="995"/>
      <c r="R656" s="996"/>
      <c r="S656" s="996"/>
      <c r="T656" s="996"/>
      <c r="U656" s="996"/>
      <c r="V656" s="996"/>
      <c r="W656" s="996"/>
      <c r="X656" s="996"/>
      <c r="Y656" s="996"/>
    </row>
    <row r="657" spans="1:25" x14ac:dyDescent="0.2">
      <c r="A657" s="995"/>
      <c r="B657" s="995"/>
      <c r="C657" s="995"/>
      <c r="D657" s="995"/>
      <c r="E657" s="995"/>
      <c r="R657" s="996"/>
      <c r="S657" s="996"/>
      <c r="T657" s="996"/>
      <c r="U657" s="996"/>
      <c r="V657" s="996"/>
      <c r="W657" s="996"/>
      <c r="X657" s="996"/>
      <c r="Y657" s="996"/>
    </row>
    <row r="658" spans="1:25" x14ac:dyDescent="0.2">
      <c r="A658" s="995"/>
      <c r="B658" s="995"/>
      <c r="C658" s="995"/>
      <c r="D658" s="995"/>
      <c r="E658" s="995"/>
      <c r="R658" s="996"/>
      <c r="S658" s="996"/>
      <c r="T658" s="996"/>
      <c r="U658" s="996"/>
      <c r="V658" s="996"/>
      <c r="W658" s="996"/>
      <c r="X658" s="996"/>
      <c r="Y658" s="996"/>
    </row>
    <row r="659" spans="1:25" x14ac:dyDescent="0.2">
      <c r="A659" s="995"/>
      <c r="B659" s="995"/>
      <c r="C659" s="995"/>
      <c r="D659" s="995"/>
      <c r="E659" s="995"/>
      <c r="R659" s="996"/>
      <c r="S659" s="996"/>
      <c r="T659" s="996"/>
      <c r="U659" s="996"/>
      <c r="V659" s="996"/>
      <c r="W659" s="996"/>
      <c r="X659" s="996"/>
      <c r="Y659" s="996"/>
    </row>
    <row r="660" spans="1:25" x14ac:dyDescent="0.2">
      <c r="A660" s="995"/>
      <c r="B660" s="995"/>
      <c r="C660" s="995"/>
      <c r="D660" s="995"/>
      <c r="E660" s="995"/>
      <c r="R660" s="996"/>
      <c r="S660" s="996"/>
      <c r="T660" s="996"/>
      <c r="U660" s="996"/>
      <c r="V660" s="996"/>
      <c r="W660" s="996"/>
      <c r="X660" s="996"/>
      <c r="Y660" s="996"/>
    </row>
    <row r="661" spans="1:25" x14ac:dyDescent="0.2">
      <c r="A661" s="995"/>
      <c r="B661" s="995"/>
      <c r="C661" s="995"/>
      <c r="D661" s="995"/>
      <c r="E661" s="995"/>
      <c r="R661" s="996"/>
      <c r="S661" s="996"/>
      <c r="T661" s="996"/>
      <c r="U661" s="996"/>
      <c r="V661" s="996"/>
      <c r="W661" s="996"/>
      <c r="X661" s="996"/>
      <c r="Y661" s="996"/>
    </row>
    <row r="662" spans="1:25" x14ac:dyDescent="0.2">
      <c r="A662" s="995"/>
      <c r="B662" s="995"/>
      <c r="C662" s="995"/>
      <c r="D662" s="995"/>
      <c r="E662" s="995"/>
      <c r="R662" s="996"/>
      <c r="S662" s="996"/>
      <c r="T662" s="996"/>
      <c r="U662" s="996"/>
      <c r="V662" s="996"/>
      <c r="W662" s="996"/>
      <c r="X662" s="996"/>
      <c r="Y662" s="996"/>
    </row>
    <row r="663" spans="1:25" x14ac:dyDescent="0.2">
      <c r="A663" s="995"/>
      <c r="B663" s="995"/>
      <c r="C663" s="995"/>
      <c r="D663" s="995"/>
      <c r="E663" s="995"/>
      <c r="R663" s="996"/>
      <c r="S663" s="996"/>
      <c r="T663" s="996"/>
      <c r="U663" s="996"/>
      <c r="V663" s="996"/>
      <c r="W663" s="996"/>
      <c r="X663" s="996"/>
      <c r="Y663" s="996"/>
    </row>
    <row r="664" spans="1:25" x14ac:dyDescent="0.2">
      <c r="A664" s="995"/>
      <c r="B664" s="995"/>
      <c r="C664" s="995"/>
      <c r="D664" s="995"/>
      <c r="E664" s="995"/>
      <c r="R664" s="996"/>
      <c r="S664" s="996"/>
      <c r="T664" s="996"/>
      <c r="U664" s="996"/>
      <c r="V664" s="996"/>
      <c r="W664" s="996"/>
      <c r="X664" s="996"/>
      <c r="Y664" s="996"/>
    </row>
    <row r="665" spans="1:25" x14ac:dyDescent="0.2">
      <c r="A665" s="995"/>
      <c r="B665" s="995"/>
      <c r="C665" s="995"/>
      <c r="D665" s="995"/>
      <c r="E665" s="995"/>
      <c r="R665" s="996"/>
      <c r="S665" s="996"/>
      <c r="T665" s="996"/>
      <c r="U665" s="996"/>
      <c r="V665" s="996"/>
      <c r="W665" s="996"/>
      <c r="X665" s="996"/>
      <c r="Y665" s="996"/>
    </row>
    <row r="666" spans="1:25" x14ac:dyDescent="0.2">
      <c r="A666" s="995"/>
      <c r="B666" s="995"/>
      <c r="C666" s="995"/>
      <c r="D666" s="995"/>
      <c r="E666" s="995"/>
      <c r="R666" s="996"/>
      <c r="S666" s="996"/>
      <c r="T666" s="996"/>
      <c r="U666" s="996"/>
      <c r="V666" s="996"/>
      <c r="W666" s="996"/>
      <c r="X666" s="996"/>
      <c r="Y666" s="996"/>
    </row>
    <row r="667" spans="1:25" x14ac:dyDescent="0.2">
      <c r="A667" s="995"/>
      <c r="B667" s="995"/>
      <c r="C667" s="995"/>
      <c r="D667" s="995"/>
      <c r="E667" s="995"/>
      <c r="R667" s="996"/>
      <c r="S667" s="996"/>
      <c r="T667" s="996"/>
      <c r="U667" s="996"/>
      <c r="V667" s="996"/>
      <c r="W667" s="996"/>
      <c r="X667" s="996"/>
      <c r="Y667" s="996"/>
    </row>
    <row r="668" spans="1:25" x14ac:dyDescent="0.2">
      <c r="A668" s="995"/>
      <c r="B668" s="995"/>
      <c r="C668" s="995"/>
      <c r="D668" s="995"/>
      <c r="E668" s="995"/>
      <c r="R668" s="996"/>
      <c r="S668" s="996"/>
      <c r="T668" s="996"/>
      <c r="U668" s="996"/>
      <c r="V668" s="996"/>
      <c r="W668" s="996"/>
      <c r="X668" s="996"/>
      <c r="Y668" s="996"/>
    </row>
    <row r="669" spans="1:25" x14ac:dyDescent="0.2">
      <c r="A669" s="995"/>
      <c r="B669" s="995"/>
      <c r="C669" s="995"/>
      <c r="D669" s="995"/>
      <c r="E669" s="995"/>
      <c r="R669" s="996"/>
      <c r="S669" s="996"/>
      <c r="T669" s="996"/>
      <c r="U669" s="996"/>
      <c r="V669" s="996"/>
      <c r="W669" s="996"/>
      <c r="X669" s="996"/>
      <c r="Y669" s="996"/>
    </row>
    <row r="670" spans="1:25" x14ac:dyDescent="0.2">
      <c r="A670" s="995"/>
      <c r="B670" s="995"/>
      <c r="C670" s="995"/>
      <c r="D670" s="995"/>
      <c r="E670" s="995"/>
      <c r="R670" s="996"/>
      <c r="S670" s="996"/>
      <c r="T670" s="996"/>
      <c r="U670" s="996"/>
      <c r="V670" s="996"/>
      <c r="W670" s="996"/>
      <c r="X670" s="996"/>
      <c r="Y670" s="996"/>
    </row>
    <row r="671" spans="1:25" x14ac:dyDescent="0.2">
      <c r="A671" s="995"/>
      <c r="B671" s="995"/>
      <c r="C671" s="995"/>
      <c r="D671" s="995"/>
      <c r="E671" s="995"/>
      <c r="R671" s="996"/>
      <c r="S671" s="996"/>
      <c r="T671" s="996"/>
      <c r="U671" s="996"/>
      <c r="V671" s="996"/>
      <c r="W671" s="996"/>
      <c r="X671" s="996"/>
      <c r="Y671" s="996"/>
    </row>
    <row r="672" spans="1:25" x14ac:dyDescent="0.2">
      <c r="A672" s="995"/>
      <c r="B672" s="995"/>
      <c r="C672" s="995"/>
      <c r="D672" s="995"/>
      <c r="E672" s="995"/>
      <c r="R672" s="996"/>
      <c r="S672" s="996"/>
      <c r="T672" s="996"/>
      <c r="U672" s="996"/>
      <c r="V672" s="996"/>
      <c r="W672" s="996"/>
      <c r="X672" s="996"/>
      <c r="Y672" s="996"/>
    </row>
    <row r="673" spans="1:25" x14ac:dyDescent="0.2">
      <c r="A673" s="995"/>
      <c r="B673" s="995"/>
      <c r="C673" s="995"/>
      <c r="D673" s="995"/>
      <c r="E673" s="995"/>
      <c r="R673" s="996"/>
      <c r="S673" s="996"/>
      <c r="T673" s="996"/>
      <c r="U673" s="996"/>
      <c r="V673" s="996"/>
      <c r="W673" s="996"/>
      <c r="X673" s="996"/>
      <c r="Y673" s="996"/>
    </row>
    <row r="674" spans="1:25" x14ac:dyDescent="0.2">
      <c r="A674" s="995"/>
      <c r="B674" s="995"/>
      <c r="C674" s="995"/>
      <c r="D674" s="995"/>
      <c r="E674" s="995"/>
      <c r="R674" s="996"/>
      <c r="S674" s="996"/>
      <c r="T674" s="996"/>
      <c r="U674" s="996"/>
      <c r="V674" s="996"/>
      <c r="W674" s="996"/>
      <c r="X674" s="996"/>
      <c r="Y674" s="996"/>
    </row>
    <row r="675" spans="1:25" x14ac:dyDescent="0.2">
      <c r="A675" s="995"/>
      <c r="B675" s="995"/>
      <c r="C675" s="995"/>
      <c r="D675" s="995"/>
      <c r="E675" s="995"/>
      <c r="R675" s="996"/>
      <c r="S675" s="996"/>
      <c r="T675" s="996"/>
      <c r="U675" s="996"/>
      <c r="V675" s="996"/>
      <c r="W675" s="996"/>
      <c r="X675" s="996"/>
      <c r="Y675" s="996"/>
    </row>
    <row r="676" spans="1:25" x14ac:dyDescent="0.2">
      <c r="A676" s="995"/>
      <c r="B676" s="995"/>
      <c r="C676" s="995"/>
      <c r="D676" s="995"/>
      <c r="E676" s="995"/>
      <c r="R676" s="996"/>
      <c r="S676" s="996"/>
      <c r="T676" s="996"/>
      <c r="U676" s="996"/>
      <c r="V676" s="996"/>
      <c r="W676" s="996"/>
      <c r="X676" s="996"/>
      <c r="Y676" s="996"/>
    </row>
    <row r="677" spans="1:25" x14ac:dyDescent="0.2">
      <c r="A677" s="995"/>
      <c r="B677" s="995"/>
      <c r="C677" s="995"/>
      <c r="D677" s="995"/>
      <c r="E677" s="995"/>
      <c r="R677" s="996"/>
      <c r="S677" s="996"/>
      <c r="T677" s="996"/>
      <c r="U677" s="996"/>
      <c r="V677" s="996"/>
      <c r="W677" s="996"/>
      <c r="X677" s="996"/>
      <c r="Y677" s="996"/>
    </row>
    <row r="678" spans="1:25" x14ac:dyDescent="0.2">
      <c r="A678" s="995"/>
      <c r="B678" s="995"/>
      <c r="C678" s="995"/>
      <c r="D678" s="995"/>
      <c r="E678" s="995"/>
      <c r="R678" s="996"/>
      <c r="S678" s="996"/>
      <c r="T678" s="996"/>
      <c r="U678" s="996"/>
      <c r="V678" s="996"/>
      <c r="W678" s="996"/>
      <c r="X678" s="996"/>
      <c r="Y678" s="996"/>
    </row>
    <row r="679" spans="1:25" x14ac:dyDescent="0.2">
      <c r="A679" s="995"/>
      <c r="B679" s="995"/>
      <c r="C679" s="995"/>
      <c r="D679" s="995"/>
      <c r="E679" s="995"/>
      <c r="R679" s="996"/>
      <c r="S679" s="996"/>
      <c r="T679" s="996"/>
      <c r="U679" s="996"/>
      <c r="V679" s="996"/>
      <c r="W679" s="996"/>
      <c r="X679" s="996"/>
      <c r="Y679" s="996"/>
    </row>
    <row r="680" spans="1:25" x14ac:dyDescent="0.2">
      <c r="A680" s="995"/>
      <c r="B680" s="995"/>
      <c r="C680" s="995"/>
      <c r="D680" s="995"/>
      <c r="E680" s="995"/>
      <c r="R680" s="996"/>
      <c r="S680" s="996"/>
      <c r="T680" s="996"/>
      <c r="U680" s="996"/>
      <c r="V680" s="996"/>
      <c r="W680" s="996"/>
      <c r="X680" s="996"/>
      <c r="Y680" s="996"/>
    </row>
    <row r="681" spans="1:25" x14ac:dyDescent="0.2">
      <c r="A681" s="995"/>
      <c r="B681" s="995"/>
      <c r="C681" s="995"/>
      <c r="D681" s="995"/>
      <c r="E681" s="995"/>
      <c r="R681" s="996"/>
      <c r="S681" s="996"/>
      <c r="T681" s="996"/>
      <c r="U681" s="996"/>
      <c r="V681" s="996"/>
      <c r="W681" s="996"/>
      <c r="X681" s="996"/>
      <c r="Y681" s="996"/>
    </row>
    <row r="682" spans="1:25" x14ac:dyDescent="0.2">
      <c r="A682" s="995"/>
      <c r="B682" s="995"/>
      <c r="C682" s="995"/>
      <c r="D682" s="995"/>
      <c r="E682" s="995"/>
      <c r="R682" s="996"/>
      <c r="S682" s="996"/>
      <c r="T682" s="996"/>
      <c r="U682" s="996"/>
      <c r="V682" s="996"/>
      <c r="W682" s="996"/>
      <c r="X682" s="996"/>
      <c r="Y682" s="996"/>
    </row>
    <row r="683" spans="1:25" x14ac:dyDescent="0.2">
      <c r="A683" s="995"/>
      <c r="B683" s="995"/>
      <c r="C683" s="995"/>
      <c r="D683" s="995"/>
      <c r="E683" s="995"/>
      <c r="R683" s="996"/>
      <c r="S683" s="996"/>
      <c r="T683" s="996"/>
      <c r="U683" s="996"/>
      <c r="V683" s="996"/>
      <c r="W683" s="996"/>
      <c r="X683" s="996"/>
      <c r="Y683" s="996"/>
    </row>
    <row r="684" spans="1:25" x14ac:dyDescent="0.2">
      <c r="A684" s="995"/>
      <c r="B684" s="995"/>
      <c r="C684" s="995"/>
      <c r="D684" s="995"/>
      <c r="E684" s="995"/>
      <c r="R684" s="996"/>
      <c r="S684" s="996"/>
      <c r="T684" s="996"/>
      <c r="U684" s="996"/>
      <c r="V684" s="996"/>
      <c r="W684" s="996"/>
      <c r="X684" s="996"/>
      <c r="Y684" s="996"/>
    </row>
    <row r="685" spans="1:25" x14ac:dyDescent="0.2">
      <c r="A685" s="995"/>
      <c r="B685" s="995"/>
      <c r="C685" s="995"/>
      <c r="D685" s="995"/>
      <c r="E685" s="995"/>
      <c r="R685" s="996"/>
      <c r="S685" s="996"/>
      <c r="T685" s="996"/>
      <c r="U685" s="996"/>
      <c r="V685" s="996"/>
      <c r="W685" s="996"/>
      <c r="X685" s="996"/>
      <c r="Y685" s="996"/>
    </row>
    <row r="686" spans="1:25" x14ac:dyDescent="0.2">
      <c r="A686" s="995"/>
      <c r="B686" s="995"/>
      <c r="C686" s="995"/>
      <c r="D686" s="995"/>
      <c r="E686" s="995"/>
      <c r="R686" s="996"/>
      <c r="S686" s="996"/>
      <c r="T686" s="996"/>
      <c r="U686" s="996"/>
      <c r="V686" s="996"/>
      <c r="W686" s="996"/>
      <c r="X686" s="996"/>
      <c r="Y686" s="996"/>
    </row>
    <row r="687" spans="1:25" x14ac:dyDescent="0.2">
      <c r="A687" s="995"/>
      <c r="B687" s="995"/>
      <c r="C687" s="995"/>
      <c r="D687" s="995"/>
      <c r="E687" s="995"/>
      <c r="R687" s="996"/>
      <c r="S687" s="996"/>
      <c r="T687" s="996"/>
      <c r="U687" s="996"/>
      <c r="V687" s="996"/>
      <c r="W687" s="996"/>
      <c r="X687" s="996"/>
      <c r="Y687" s="996"/>
    </row>
    <row r="688" spans="1:25" x14ac:dyDescent="0.2">
      <c r="A688" s="995"/>
      <c r="B688" s="995"/>
      <c r="C688" s="995"/>
      <c r="D688" s="995"/>
      <c r="E688" s="995"/>
      <c r="R688" s="996"/>
      <c r="S688" s="996"/>
      <c r="T688" s="996"/>
      <c r="U688" s="996"/>
      <c r="V688" s="996"/>
      <c r="W688" s="996"/>
      <c r="X688" s="996"/>
      <c r="Y688" s="996"/>
    </row>
    <row r="689" spans="1:25" x14ac:dyDescent="0.2">
      <c r="A689" s="995"/>
      <c r="B689" s="995"/>
      <c r="C689" s="995"/>
      <c r="D689" s="995"/>
      <c r="E689" s="995"/>
      <c r="R689" s="996"/>
      <c r="S689" s="996"/>
      <c r="T689" s="996"/>
      <c r="U689" s="996"/>
      <c r="V689" s="996"/>
      <c r="W689" s="996"/>
      <c r="X689" s="996"/>
      <c r="Y689" s="996"/>
    </row>
    <row r="690" spans="1:25" x14ac:dyDescent="0.2">
      <c r="A690" s="995"/>
      <c r="B690" s="995"/>
      <c r="C690" s="995"/>
      <c r="D690" s="995"/>
      <c r="E690" s="995"/>
      <c r="R690" s="996"/>
      <c r="S690" s="996"/>
      <c r="T690" s="996"/>
      <c r="U690" s="996"/>
      <c r="V690" s="996"/>
      <c r="W690" s="996"/>
      <c r="X690" s="996"/>
      <c r="Y690" s="996"/>
    </row>
    <row r="691" spans="1:25" x14ac:dyDescent="0.2">
      <c r="A691" s="995"/>
      <c r="B691" s="995"/>
      <c r="C691" s="995"/>
      <c r="D691" s="995"/>
      <c r="E691" s="995"/>
      <c r="R691" s="996"/>
      <c r="S691" s="996"/>
      <c r="T691" s="996"/>
      <c r="U691" s="996"/>
      <c r="V691" s="996"/>
      <c r="W691" s="996"/>
      <c r="X691" s="996"/>
      <c r="Y691" s="996"/>
    </row>
    <row r="692" spans="1:25" x14ac:dyDescent="0.2">
      <c r="A692" s="995"/>
      <c r="B692" s="995"/>
      <c r="C692" s="995"/>
      <c r="D692" s="995"/>
      <c r="E692" s="995"/>
      <c r="R692" s="996"/>
      <c r="S692" s="996"/>
      <c r="T692" s="996"/>
      <c r="U692" s="996"/>
      <c r="V692" s="996"/>
      <c r="W692" s="996"/>
      <c r="X692" s="996"/>
      <c r="Y692" s="996"/>
    </row>
    <row r="693" spans="1:25" x14ac:dyDescent="0.2">
      <c r="A693" s="995"/>
      <c r="B693" s="995"/>
      <c r="C693" s="995"/>
      <c r="D693" s="995"/>
      <c r="E693" s="995"/>
      <c r="R693" s="996"/>
      <c r="S693" s="996"/>
      <c r="T693" s="996"/>
      <c r="U693" s="996"/>
      <c r="V693" s="996"/>
      <c r="W693" s="996"/>
      <c r="X693" s="996"/>
      <c r="Y693" s="996"/>
    </row>
    <row r="694" spans="1:25" x14ac:dyDescent="0.2">
      <c r="A694" s="995"/>
      <c r="B694" s="995"/>
      <c r="C694" s="995"/>
      <c r="D694" s="995"/>
      <c r="E694" s="995"/>
      <c r="R694" s="996"/>
      <c r="S694" s="996"/>
      <c r="T694" s="996"/>
      <c r="U694" s="996"/>
      <c r="V694" s="996"/>
      <c r="W694" s="996"/>
      <c r="X694" s="996"/>
      <c r="Y694" s="996"/>
    </row>
    <row r="695" spans="1:25" x14ac:dyDescent="0.2">
      <c r="A695" s="995"/>
      <c r="B695" s="995"/>
      <c r="C695" s="995"/>
      <c r="D695" s="995"/>
      <c r="E695" s="995"/>
      <c r="R695" s="996"/>
      <c r="S695" s="996"/>
      <c r="T695" s="996"/>
      <c r="U695" s="996"/>
      <c r="V695" s="996"/>
      <c r="W695" s="996"/>
      <c r="X695" s="996"/>
      <c r="Y695" s="996"/>
    </row>
    <row r="696" spans="1:25" x14ac:dyDescent="0.2">
      <c r="A696" s="995"/>
      <c r="B696" s="995"/>
      <c r="C696" s="995"/>
      <c r="D696" s="995"/>
      <c r="E696" s="995"/>
      <c r="R696" s="996"/>
      <c r="S696" s="996"/>
      <c r="T696" s="996"/>
      <c r="U696" s="996"/>
      <c r="V696" s="996"/>
      <c r="W696" s="996"/>
      <c r="X696" s="996"/>
      <c r="Y696" s="996"/>
    </row>
    <row r="697" spans="1:25" x14ac:dyDescent="0.2">
      <c r="A697" s="995"/>
      <c r="B697" s="995"/>
      <c r="C697" s="995"/>
      <c r="D697" s="995"/>
      <c r="E697" s="995"/>
      <c r="R697" s="996"/>
      <c r="S697" s="996"/>
      <c r="T697" s="996"/>
      <c r="U697" s="996"/>
      <c r="V697" s="996"/>
      <c r="W697" s="996"/>
      <c r="X697" s="996"/>
      <c r="Y697" s="996"/>
    </row>
    <row r="698" spans="1:25" x14ac:dyDescent="0.2">
      <c r="A698" s="995"/>
      <c r="B698" s="995"/>
      <c r="C698" s="995"/>
      <c r="D698" s="995"/>
      <c r="E698" s="995"/>
      <c r="R698" s="996"/>
      <c r="S698" s="996"/>
      <c r="T698" s="996"/>
      <c r="U698" s="996"/>
      <c r="V698" s="996"/>
      <c r="W698" s="996"/>
      <c r="X698" s="996"/>
      <c r="Y698" s="996"/>
    </row>
    <row r="699" spans="1:25" x14ac:dyDescent="0.2">
      <c r="A699" s="995"/>
      <c r="B699" s="995"/>
      <c r="C699" s="995"/>
      <c r="D699" s="995"/>
      <c r="E699" s="995"/>
      <c r="R699" s="996"/>
      <c r="S699" s="996"/>
      <c r="T699" s="996"/>
      <c r="U699" s="996"/>
      <c r="V699" s="996"/>
      <c r="W699" s="996"/>
      <c r="X699" s="996"/>
      <c r="Y699" s="996"/>
    </row>
    <row r="700" spans="1:25" x14ac:dyDescent="0.2">
      <c r="A700" s="995"/>
      <c r="B700" s="995"/>
      <c r="C700" s="995"/>
      <c r="D700" s="995"/>
      <c r="E700" s="995"/>
      <c r="R700" s="996"/>
      <c r="S700" s="996"/>
      <c r="T700" s="996"/>
      <c r="U700" s="996"/>
      <c r="V700" s="996"/>
      <c r="W700" s="996"/>
      <c r="X700" s="996"/>
      <c r="Y700" s="996"/>
    </row>
    <row r="701" spans="1:25" x14ac:dyDescent="0.2">
      <c r="A701" s="995"/>
      <c r="B701" s="995"/>
      <c r="C701" s="995"/>
      <c r="D701" s="995"/>
      <c r="E701" s="995"/>
      <c r="R701" s="996"/>
      <c r="S701" s="996"/>
      <c r="T701" s="996"/>
      <c r="U701" s="996"/>
      <c r="V701" s="996"/>
      <c r="W701" s="996"/>
      <c r="X701" s="996"/>
      <c r="Y701" s="996"/>
    </row>
    <row r="702" spans="1:25" x14ac:dyDescent="0.2">
      <c r="A702" s="995"/>
      <c r="B702" s="995"/>
      <c r="C702" s="995"/>
      <c r="D702" s="995"/>
      <c r="E702" s="995"/>
      <c r="R702" s="996"/>
      <c r="S702" s="996"/>
      <c r="T702" s="996"/>
      <c r="U702" s="996"/>
      <c r="V702" s="996"/>
      <c r="W702" s="996"/>
      <c r="X702" s="996"/>
      <c r="Y702" s="996"/>
    </row>
    <row r="703" spans="1:25" x14ac:dyDescent="0.2">
      <c r="A703" s="995"/>
      <c r="B703" s="995"/>
      <c r="C703" s="995"/>
      <c r="D703" s="995"/>
      <c r="E703" s="995"/>
      <c r="R703" s="996"/>
      <c r="S703" s="996"/>
      <c r="T703" s="996"/>
      <c r="U703" s="996"/>
      <c r="V703" s="996"/>
      <c r="W703" s="996"/>
      <c r="X703" s="996"/>
      <c r="Y703" s="996"/>
    </row>
    <row r="704" spans="1:25" x14ac:dyDescent="0.2">
      <c r="A704" s="995"/>
      <c r="B704" s="995"/>
      <c r="C704" s="995"/>
      <c r="D704" s="995"/>
      <c r="E704" s="995"/>
      <c r="R704" s="996"/>
      <c r="S704" s="996"/>
      <c r="T704" s="996"/>
      <c r="U704" s="996"/>
      <c r="V704" s="996"/>
      <c r="W704" s="996"/>
      <c r="X704" s="996"/>
      <c r="Y704" s="996"/>
    </row>
    <row r="705" spans="1:25" x14ac:dyDescent="0.2">
      <c r="A705" s="995"/>
      <c r="B705" s="995"/>
      <c r="C705" s="995"/>
      <c r="D705" s="995"/>
      <c r="E705" s="995"/>
      <c r="R705" s="996"/>
      <c r="S705" s="996"/>
      <c r="T705" s="996"/>
      <c r="U705" s="996"/>
      <c r="V705" s="996"/>
      <c r="W705" s="996"/>
      <c r="X705" s="996"/>
      <c r="Y705" s="996"/>
    </row>
    <row r="706" spans="1:25" x14ac:dyDescent="0.2">
      <c r="A706" s="995"/>
      <c r="B706" s="995"/>
      <c r="C706" s="995"/>
      <c r="D706" s="995"/>
      <c r="E706" s="995"/>
      <c r="R706" s="996"/>
      <c r="S706" s="996"/>
      <c r="T706" s="996"/>
      <c r="U706" s="996"/>
      <c r="V706" s="996"/>
      <c r="W706" s="996"/>
      <c r="X706" s="996"/>
      <c r="Y706" s="996"/>
    </row>
    <row r="707" spans="1:25" x14ac:dyDescent="0.2">
      <c r="A707" s="995"/>
      <c r="B707" s="995"/>
      <c r="C707" s="995"/>
      <c r="D707" s="995"/>
      <c r="E707" s="995"/>
      <c r="R707" s="996"/>
      <c r="S707" s="996"/>
      <c r="T707" s="996"/>
      <c r="U707" s="996"/>
      <c r="V707" s="996"/>
      <c r="W707" s="996"/>
      <c r="X707" s="996"/>
      <c r="Y707" s="996"/>
    </row>
    <row r="708" spans="1:25" x14ac:dyDescent="0.2">
      <c r="A708" s="995"/>
      <c r="B708" s="995"/>
      <c r="C708" s="995"/>
      <c r="D708" s="995"/>
      <c r="E708" s="995"/>
      <c r="R708" s="996"/>
      <c r="S708" s="996"/>
      <c r="T708" s="996"/>
      <c r="U708" s="996"/>
      <c r="V708" s="996"/>
      <c r="W708" s="996"/>
      <c r="X708" s="996"/>
      <c r="Y708" s="996"/>
    </row>
    <row r="709" spans="1:25" x14ac:dyDescent="0.2">
      <c r="A709" s="995"/>
      <c r="B709" s="995"/>
      <c r="C709" s="995"/>
      <c r="D709" s="995"/>
      <c r="E709" s="995"/>
      <c r="R709" s="996"/>
      <c r="S709" s="996"/>
      <c r="T709" s="996"/>
      <c r="U709" s="996"/>
      <c r="V709" s="996"/>
      <c r="W709" s="996"/>
      <c r="X709" s="996"/>
      <c r="Y709" s="996"/>
    </row>
    <row r="710" spans="1:25" x14ac:dyDescent="0.2">
      <c r="A710" s="995"/>
      <c r="B710" s="995"/>
      <c r="C710" s="995"/>
      <c r="D710" s="995"/>
      <c r="E710" s="995"/>
      <c r="R710" s="996"/>
      <c r="S710" s="996"/>
      <c r="T710" s="996"/>
      <c r="U710" s="996"/>
      <c r="V710" s="996"/>
      <c r="W710" s="996"/>
      <c r="X710" s="996"/>
      <c r="Y710" s="996"/>
    </row>
    <row r="711" spans="1:25" x14ac:dyDescent="0.2">
      <c r="A711" s="995"/>
      <c r="B711" s="995"/>
      <c r="C711" s="995"/>
      <c r="D711" s="995"/>
      <c r="E711" s="995"/>
      <c r="R711" s="996"/>
      <c r="S711" s="996"/>
      <c r="T711" s="996"/>
      <c r="U711" s="996"/>
      <c r="V711" s="996"/>
      <c r="W711" s="996"/>
      <c r="X711" s="996"/>
      <c r="Y711" s="996"/>
    </row>
    <row r="712" spans="1:25" x14ac:dyDescent="0.2">
      <c r="A712" s="995"/>
      <c r="B712" s="995"/>
      <c r="C712" s="995"/>
      <c r="D712" s="995"/>
      <c r="E712" s="995"/>
      <c r="R712" s="996"/>
      <c r="S712" s="996"/>
      <c r="T712" s="996"/>
      <c r="U712" s="996"/>
      <c r="V712" s="996"/>
      <c r="W712" s="996"/>
      <c r="X712" s="996"/>
      <c r="Y712" s="996"/>
    </row>
    <row r="713" spans="1:25" x14ac:dyDescent="0.2">
      <c r="A713" s="995"/>
      <c r="B713" s="995"/>
      <c r="C713" s="995"/>
      <c r="D713" s="995"/>
      <c r="E713" s="995"/>
      <c r="R713" s="996"/>
      <c r="S713" s="996"/>
      <c r="T713" s="996"/>
      <c r="U713" s="996"/>
      <c r="V713" s="996"/>
      <c r="W713" s="996"/>
      <c r="X713" s="996"/>
      <c r="Y713" s="996"/>
    </row>
    <row r="714" spans="1:25" x14ac:dyDescent="0.2">
      <c r="A714" s="995"/>
      <c r="B714" s="995"/>
      <c r="C714" s="995"/>
      <c r="D714" s="995"/>
      <c r="E714" s="995"/>
      <c r="R714" s="996"/>
      <c r="S714" s="996"/>
      <c r="T714" s="996"/>
      <c r="U714" s="996"/>
      <c r="V714" s="996"/>
      <c r="W714" s="996"/>
      <c r="X714" s="996"/>
      <c r="Y714" s="996"/>
    </row>
    <row r="715" spans="1:25" x14ac:dyDescent="0.2">
      <c r="A715" s="995"/>
      <c r="B715" s="995"/>
      <c r="C715" s="995"/>
      <c r="D715" s="995"/>
      <c r="E715" s="995"/>
      <c r="R715" s="996"/>
      <c r="S715" s="996"/>
      <c r="T715" s="996"/>
      <c r="U715" s="996"/>
      <c r="V715" s="996"/>
      <c r="W715" s="996"/>
      <c r="X715" s="996"/>
      <c r="Y715" s="996"/>
    </row>
    <row r="716" spans="1:25" x14ac:dyDescent="0.2">
      <c r="A716" s="995"/>
      <c r="B716" s="995"/>
      <c r="C716" s="995"/>
      <c r="D716" s="995"/>
      <c r="E716" s="995"/>
      <c r="R716" s="996"/>
      <c r="S716" s="996"/>
      <c r="T716" s="996"/>
      <c r="U716" s="996"/>
      <c r="V716" s="996"/>
      <c r="W716" s="996"/>
      <c r="X716" s="996"/>
      <c r="Y716" s="996"/>
    </row>
    <row r="717" spans="1:25" x14ac:dyDescent="0.2">
      <c r="A717" s="995"/>
      <c r="B717" s="995"/>
      <c r="C717" s="995"/>
      <c r="D717" s="995"/>
      <c r="E717" s="995"/>
      <c r="R717" s="996"/>
      <c r="S717" s="996"/>
      <c r="T717" s="996"/>
      <c r="U717" s="996"/>
      <c r="V717" s="996"/>
      <c r="W717" s="996"/>
      <c r="X717" s="996"/>
      <c r="Y717" s="996"/>
    </row>
    <row r="718" spans="1:25" x14ac:dyDescent="0.2">
      <c r="A718" s="995"/>
      <c r="B718" s="995"/>
      <c r="C718" s="995"/>
      <c r="D718" s="995"/>
      <c r="E718" s="995"/>
      <c r="R718" s="996"/>
      <c r="S718" s="996"/>
      <c r="T718" s="996"/>
      <c r="U718" s="996"/>
      <c r="V718" s="996"/>
      <c r="W718" s="996"/>
      <c r="X718" s="996"/>
      <c r="Y718" s="996"/>
    </row>
    <row r="719" spans="1:25" x14ac:dyDescent="0.2">
      <c r="A719" s="995"/>
      <c r="B719" s="995"/>
      <c r="C719" s="995"/>
      <c r="D719" s="995"/>
      <c r="E719" s="995"/>
      <c r="R719" s="996"/>
      <c r="S719" s="996"/>
      <c r="T719" s="996"/>
      <c r="U719" s="996"/>
      <c r="V719" s="996"/>
      <c r="W719" s="996"/>
      <c r="X719" s="996"/>
      <c r="Y719" s="996"/>
    </row>
    <row r="720" spans="1:25" x14ac:dyDescent="0.2">
      <c r="A720" s="995"/>
      <c r="B720" s="995"/>
      <c r="C720" s="995"/>
      <c r="D720" s="995"/>
      <c r="E720" s="995"/>
      <c r="R720" s="996"/>
      <c r="S720" s="996"/>
      <c r="T720" s="996"/>
      <c r="U720" s="996"/>
      <c r="V720" s="996"/>
      <c r="W720" s="996"/>
      <c r="X720" s="996"/>
      <c r="Y720" s="996"/>
    </row>
    <row r="721" spans="1:25" x14ac:dyDescent="0.2">
      <c r="A721" s="995"/>
      <c r="B721" s="995"/>
      <c r="C721" s="995"/>
      <c r="D721" s="995"/>
      <c r="E721" s="995"/>
      <c r="R721" s="996"/>
      <c r="S721" s="996"/>
      <c r="T721" s="996"/>
      <c r="U721" s="996"/>
      <c r="V721" s="996"/>
      <c r="W721" s="996"/>
      <c r="X721" s="996"/>
      <c r="Y721" s="996"/>
    </row>
    <row r="722" spans="1:25" x14ac:dyDescent="0.2">
      <c r="A722" s="995"/>
      <c r="B722" s="995"/>
      <c r="C722" s="995"/>
      <c r="D722" s="995"/>
      <c r="E722" s="995"/>
      <c r="R722" s="996"/>
      <c r="S722" s="996"/>
      <c r="T722" s="996"/>
      <c r="U722" s="996"/>
      <c r="V722" s="996"/>
      <c r="W722" s="996"/>
      <c r="X722" s="996"/>
      <c r="Y722" s="996"/>
    </row>
    <row r="723" spans="1:25" x14ac:dyDescent="0.2">
      <c r="A723" s="995"/>
      <c r="B723" s="995"/>
      <c r="C723" s="995"/>
      <c r="D723" s="995"/>
      <c r="E723" s="995"/>
      <c r="R723" s="996"/>
      <c r="S723" s="996"/>
      <c r="T723" s="996"/>
      <c r="U723" s="996"/>
      <c r="V723" s="996"/>
      <c r="W723" s="996"/>
      <c r="X723" s="996"/>
      <c r="Y723" s="996"/>
    </row>
    <row r="724" spans="1:25" x14ac:dyDescent="0.2">
      <c r="A724" s="995"/>
      <c r="B724" s="995"/>
      <c r="C724" s="995"/>
      <c r="D724" s="995"/>
      <c r="E724" s="995"/>
      <c r="R724" s="996"/>
      <c r="S724" s="996"/>
      <c r="T724" s="996"/>
      <c r="U724" s="996"/>
      <c r="V724" s="996"/>
      <c r="W724" s="996"/>
      <c r="X724" s="996"/>
      <c r="Y724" s="996"/>
    </row>
    <row r="725" spans="1:25" x14ac:dyDescent="0.2">
      <c r="A725" s="995"/>
      <c r="B725" s="995"/>
      <c r="C725" s="995"/>
      <c r="D725" s="995"/>
      <c r="E725" s="995"/>
      <c r="R725" s="996"/>
      <c r="S725" s="996"/>
      <c r="T725" s="996"/>
      <c r="U725" s="996"/>
      <c r="V725" s="996"/>
      <c r="W725" s="996"/>
      <c r="X725" s="996"/>
      <c r="Y725" s="996"/>
    </row>
    <row r="726" spans="1:25" x14ac:dyDescent="0.2">
      <c r="A726" s="995"/>
      <c r="B726" s="995"/>
      <c r="C726" s="995"/>
      <c r="D726" s="995"/>
      <c r="E726" s="995"/>
      <c r="R726" s="996"/>
      <c r="S726" s="996"/>
      <c r="T726" s="996"/>
      <c r="U726" s="996"/>
      <c r="V726" s="996"/>
      <c r="W726" s="996"/>
      <c r="X726" s="996"/>
      <c r="Y726" s="996"/>
    </row>
    <row r="727" spans="1:25" x14ac:dyDescent="0.2">
      <c r="A727" s="995"/>
      <c r="B727" s="995"/>
      <c r="C727" s="995"/>
      <c r="D727" s="995"/>
      <c r="E727" s="995"/>
      <c r="R727" s="996"/>
      <c r="S727" s="996"/>
      <c r="T727" s="996"/>
      <c r="U727" s="996"/>
      <c r="V727" s="996"/>
      <c r="W727" s="996"/>
      <c r="X727" s="996"/>
      <c r="Y727" s="996"/>
    </row>
    <row r="728" spans="1:25" x14ac:dyDescent="0.2">
      <c r="A728" s="995"/>
      <c r="B728" s="995"/>
      <c r="C728" s="995"/>
      <c r="D728" s="995"/>
      <c r="E728" s="995"/>
      <c r="R728" s="996"/>
      <c r="S728" s="996"/>
      <c r="T728" s="996"/>
      <c r="U728" s="996"/>
      <c r="V728" s="996"/>
      <c r="W728" s="996"/>
      <c r="X728" s="996"/>
      <c r="Y728" s="996"/>
    </row>
    <row r="729" spans="1:25" x14ac:dyDescent="0.2">
      <c r="A729" s="995"/>
      <c r="B729" s="995"/>
      <c r="C729" s="995"/>
      <c r="D729" s="995"/>
      <c r="E729" s="995"/>
      <c r="R729" s="996"/>
      <c r="S729" s="996"/>
      <c r="T729" s="996"/>
      <c r="U729" s="996"/>
      <c r="V729" s="996"/>
      <c r="W729" s="996"/>
      <c r="X729" s="996"/>
      <c r="Y729" s="996"/>
    </row>
    <row r="730" spans="1:25" x14ac:dyDescent="0.2">
      <c r="A730" s="995"/>
      <c r="B730" s="995"/>
      <c r="C730" s="995"/>
      <c r="D730" s="995"/>
      <c r="E730" s="995"/>
      <c r="R730" s="996"/>
      <c r="S730" s="996"/>
      <c r="T730" s="996"/>
      <c r="U730" s="996"/>
      <c r="V730" s="996"/>
      <c r="W730" s="996"/>
      <c r="X730" s="996"/>
      <c r="Y730" s="996"/>
    </row>
    <row r="731" spans="1:25" x14ac:dyDescent="0.2">
      <c r="A731" s="995"/>
      <c r="B731" s="995"/>
      <c r="C731" s="995"/>
      <c r="D731" s="995"/>
      <c r="E731" s="995"/>
      <c r="R731" s="996"/>
      <c r="S731" s="996"/>
      <c r="T731" s="996"/>
      <c r="U731" s="996"/>
      <c r="V731" s="996"/>
      <c r="W731" s="996"/>
      <c r="X731" s="996"/>
      <c r="Y731" s="996"/>
    </row>
    <row r="732" spans="1:25" x14ac:dyDescent="0.2">
      <c r="A732" s="995"/>
      <c r="B732" s="995"/>
      <c r="C732" s="995"/>
      <c r="D732" s="995"/>
      <c r="E732" s="995"/>
      <c r="R732" s="996"/>
      <c r="S732" s="996"/>
      <c r="T732" s="996"/>
      <c r="U732" s="996"/>
      <c r="V732" s="996"/>
      <c r="W732" s="996"/>
      <c r="X732" s="996"/>
      <c r="Y732" s="996"/>
    </row>
    <row r="733" spans="1:25" x14ac:dyDescent="0.2">
      <c r="A733" s="995"/>
      <c r="B733" s="995"/>
      <c r="C733" s="995"/>
      <c r="D733" s="995"/>
      <c r="E733" s="995"/>
      <c r="R733" s="996"/>
      <c r="S733" s="996"/>
      <c r="T733" s="996"/>
      <c r="U733" s="996"/>
      <c r="V733" s="996"/>
      <c r="W733" s="996"/>
      <c r="X733" s="996"/>
      <c r="Y733" s="996"/>
    </row>
    <row r="734" spans="1:25" x14ac:dyDescent="0.2">
      <c r="A734" s="995"/>
      <c r="B734" s="995"/>
      <c r="C734" s="995"/>
      <c r="D734" s="995"/>
      <c r="E734" s="995"/>
      <c r="R734" s="996"/>
      <c r="S734" s="996"/>
      <c r="T734" s="996"/>
      <c r="U734" s="996"/>
      <c r="V734" s="996"/>
      <c r="W734" s="996"/>
      <c r="X734" s="996"/>
      <c r="Y734" s="996"/>
    </row>
    <row r="735" spans="1:25" x14ac:dyDescent="0.2">
      <c r="A735" s="995"/>
      <c r="B735" s="995"/>
      <c r="C735" s="995"/>
      <c r="D735" s="995"/>
      <c r="E735" s="995"/>
      <c r="R735" s="996"/>
      <c r="S735" s="996"/>
      <c r="T735" s="996"/>
      <c r="U735" s="996"/>
      <c r="V735" s="996"/>
      <c r="W735" s="996"/>
      <c r="X735" s="996"/>
      <c r="Y735" s="996"/>
    </row>
    <row r="736" spans="1:25" x14ac:dyDescent="0.2">
      <c r="A736" s="995"/>
      <c r="B736" s="995"/>
      <c r="C736" s="995"/>
      <c r="D736" s="995"/>
      <c r="E736" s="995"/>
      <c r="R736" s="996"/>
      <c r="S736" s="996"/>
      <c r="T736" s="996"/>
      <c r="U736" s="996"/>
      <c r="V736" s="996"/>
      <c r="W736" s="996"/>
      <c r="X736" s="996"/>
      <c r="Y736" s="996"/>
    </row>
    <row r="737" spans="1:25" x14ac:dyDescent="0.2">
      <c r="A737" s="995"/>
      <c r="B737" s="995"/>
      <c r="C737" s="995"/>
      <c r="D737" s="995"/>
      <c r="E737" s="995"/>
      <c r="R737" s="996"/>
      <c r="S737" s="996"/>
      <c r="T737" s="996"/>
      <c r="U737" s="996"/>
      <c r="V737" s="996"/>
      <c r="W737" s="996"/>
      <c r="X737" s="996"/>
      <c r="Y737" s="996"/>
    </row>
    <row r="738" spans="1:25" x14ac:dyDescent="0.2">
      <c r="A738" s="995"/>
      <c r="B738" s="995"/>
      <c r="C738" s="995"/>
      <c r="D738" s="995"/>
      <c r="E738" s="995"/>
      <c r="R738" s="996"/>
      <c r="S738" s="996"/>
      <c r="T738" s="996"/>
      <c r="U738" s="996"/>
      <c r="V738" s="996"/>
      <c r="W738" s="996"/>
      <c r="X738" s="996"/>
      <c r="Y738" s="996"/>
    </row>
    <row r="739" spans="1:25" x14ac:dyDescent="0.2">
      <c r="A739" s="995"/>
      <c r="B739" s="995"/>
      <c r="C739" s="995"/>
      <c r="D739" s="995"/>
      <c r="E739" s="995"/>
      <c r="R739" s="996"/>
      <c r="S739" s="996"/>
      <c r="T739" s="996"/>
      <c r="U739" s="996"/>
      <c r="V739" s="996"/>
      <c r="W739" s="996"/>
      <c r="X739" s="996"/>
      <c r="Y739" s="996"/>
    </row>
    <row r="740" spans="1:25" x14ac:dyDescent="0.2">
      <c r="A740" s="995"/>
      <c r="B740" s="995"/>
      <c r="C740" s="995"/>
      <c r="D740" s="995"/>
      <c r="E740" s="995"/>
      <c r="R740" s="996"/>
      <c r="S740" s="996"/>
      <c r="T740" s="996"/>
      <c r="U740" s="996"/>
      <c r="V740" s="996"/>
      <c r="W740" s="996"/>
      <c r="X740" s="996"/>
      <c r="Y740" s="996"/>
    </row>
    <row r="741" spans="1:25" x14ac:dyDescent="0.2">
      <c r="A741" s="995"/>
      <c r="B741" s="995"/>
      <c r="C741" s="995"/>
      <c r="D741" s="995"/>
      <c r="E741" s="995"/>
      <c r="R741" s="996"/>
      <c r="S741" s="996"/>
      <c r="T741" s="996"/>
      <c r="U741" s="996"/>
      <c r="V741" s="996"/>
      <c r="W741" s="996"/>
      <c r="X741" s="996"/>
      <c r="Y741" s="996"/>
    </row>
    <row r="742" spans="1:25" x14ac:dyDescent="0.2">
      <c r="A742" s="995"/>
      <c r="B742" s="995"/>
      <c r="C742" s="995"/>
      <c r="D742" s="995"/>
      <c r="E742" s="995"/>
      <c r="R742" s="996"/>
      <c r="S742" s="996"/>
      <c r="T742" s="996"/>
      <c r="U742" s="996"/>
      <c r="V742" s="996"/>
      <c r="W742" s="996"/>
      <c r="X742" s="996"/>
      <c r="Y742" s="996"/>
    </row>
    <row r="743" spans="1:25" x14ac:dyDescent="0.2">
      <c r="A743" s="995"/>
      <c r="B743" s="995"/>
      <c r="C743" s="995"/>
      <c r="D743" s="995"/>
      <c r="E743" s="995"/>
      <c r="R743" s="996"/>
      <c r="S743" s="996"/>
      <c r="T743" s="996"/>
      <c r="U743" s="996"/>
      <c r="V743" s="996"/>
      <c r="W743" s="996"/>
      <c r="X743" s="996"/>
      <c r="Y743" s="996"/>
    </row>
    <row r="744" spans="1:25" x14ac:dyDescent="0.2">
      <c r="A744" s="995"/>
      <c r="B744" s="995"/>
      <c r="C744" s="995"/>
      <c r="D744" s="995"/>
      <c r="E744" s="995"/>
      <c r="R744" s="996"/>
      <c r="S744" s="996"/>
      <c r="T744" s="996"/>
      <c r="U744" s="996"/>
      <c r="V744" s="996"/>
      <c r="W744" s="996"/>
      <c r="X744" s="996"/>
      <c r="Y744" s="996"/>
    </row>
    <row r="745" spans="1:25" x14ac:dyDescent="0.2">
      <c r="A745" s="995"/>
      <c r="B745" s="995"/>
      <c r="C745" s="995"/>
      <c r="D745" s="995"/>
      <c r="E745" s="995"/>
      <c r="R745" s="996"/>
      <c r="S745" s="996"/>
      <c r="T745" s="996"/>
      <c r="U745" s="996"/>
      <c r="V745" s="996"/>
      <c r="W745" s="996"/>
      <c r="X745" s="996"/>
      <c r="Y745" s="996"/>
    </row>
    <row r="746" spans="1:25" x14ac:dyDescent="0.2">
      <c r="A746" s="995"/>
      <c r="B746" s="995"/>
      <c r="C746" s="995"/>
      <c r="D746" s="995"/>
      <c r="E746" s="995"/>
      <c r="R746" s="996"/>
      <c r="S746" s="996"/>
      <c r="T746" s="996"/>
      <c r="U746" s="996"/>
      <c r="V746" s="996"/>
      <c r="W746" s="996"/>
      <c r="X746" s="996"/>
      <c r="Y746" s="996"/>
    </row>
    <row r="747" spans="1:25" x14ac:dyDescent="0.2">
      <c r="A747" s="995"/>
      <c r="B747" s="995"/>
      <c r="C747" s="995"/>
      <c r="D747" s="995"/>
      <c r="E747" s="995"/>
      <c r="R747" s="996"/>
      <c r="S747" s="996"/>
      <c r="T747" s="996"/>
      <c r="U747" s="996"/>
      <c r="V747" s="996"/>
      <c r="W747" s="996"/>
      <c r="X747" s="996"/>
      <c r="Y747" s="996"/>
    </row>
    <row r="748" spans="1:25" x14ac:dyDescent="0.2">
      <c r="A748" s="995"/>
      <c r="B748" s="995"/>
      <c r="C748" s="995"/>
      <c r="D748" s="995"/>
      <c r="E748" s="995"/>
      <c r="R748" s="996"/>
      <c r="S748" s="996"/>
      <c r="T748" s="996"/>
      <c r="U748" s="996"/>
      <c r="V748" s="996"/>
      <c r="W748" s="996"/>
      <c r="X748" s="996"/>
      <c r="Y748" s="996"/>
    </row>
    <row r="749" spans="1:25" x14ac:dyDescent="0.2">
      <c r="A749" s="995"/>
      <c r="B749" s="995"/>
      <c r="C749" s="995"/>
      <c r="D749" s="995"/>
      <c r="E749" s="995"/>
      <c r="R749" s="996"/>
      <c r="S749" s="996"/>
      <c r="T749" s="996"/>
      <c r="U749" s="996"/>
      <c r="V749" s="996"/>
      <c r="W749" s="996"/>
      <c r="X749" s="996"/>
      <c r="Y749" s="996"/>
    </row>
    <row r="750" spans="1:25" x14ac:dyDescent="0.2">
      <c r="A750" s="995"/>
      <c r="B750" s="995"/>
      <c r="C750" s="995"/>
      <c r="D750" s="995"/>
      <c r="E750" s="995"/>
      <c r="R750" s="996"/>
      <c r="S750" s="996"/>
      <c r="T750" s="996"/>
      <c r="U750" s="996"/>
      <c r="V750" s="996"/>
      <c r="W750" s="996"/>
      <c r="X750" s="996"/>
      <c r="Y750" s="996"/>
    </row>
    <row r="751" spans="1:25" x14ac:dyDescent="0.2">
      <c r="A751" s="995"/>
      <c r="B751" s="995"/>
      <c r="C751" s="995"/>
      <c r="D751" s="995"/>
      <c r="E751" s="995"/>
      <c r="R751" s="996"/>
      <c r="S751" s="996"/>
      <c r="T751" s="996"/>
      <c r="U751" s="996"/>
      <c r="V751" s="996"/>
      <c r="W751" s="996"/>
      <c r="X751" s="996"/>
      <c r="Y751" s="996"/>
    </row>
    <row r="752" spans="1:25" x14ac:dyDescent="0.2">
      <c r="A752" s="995"/>
      <c r="B752" s="995"/>
      <c r="C752" s="995"/>
      <c r="D752" s="995"/>
      <c r="E752" s="995"/>
      <c r="R752" s="996"/>
      <c r="S752" s="996"/>
      <c r="T752" s="996"/>
      <c r="U752" s="996"/>
      <c r="V752" s="996"/>
      <c r="W752" s="996"/>
      <c r="X752" s="996"/>
      <c r="Y752" s="996"/>
    </row>
    <row r="753" spans="1:25" x14ac:dyDescent="0.2">
      <c r="A753" s="995"/>
      <c r="B753" s="995"/>
      <c r="C753" s="995"/>
      <c r="D753" s="995"/>
      <c r="E753" s="995"/>
      <c r="R753" s="996"/>
      <c r="S753" s="996"/>
      <c r="T753" s="996"/>
      <c r="U753" s="996"/>
      <c r="V753" s="996"/>
      <c r="W753" s="996"/>
      <c r="X753" s="996"/>
      <c r="Y753" s="996"/>
    </row>
    <row r="754" spans="1:25" x14ac:dyDescent="0.2">
      <c r="A754" s="995"/>
      <c r="B754" s="995"/>
      <c r="C754" s="995"/>
      <c r="D754" s="995"/>
      <c r="E754" s="995"/>
      <c r="R754" s="996"/>
      <c r="S754" s="996"/>
      <c r="T754" s="996"/>
      <c r="U754" s="996"/>
      <c r="V754" s="996"/>
      <c r="W754" s="996"/>
      <c r="X754" s="996"/>
      <c r="Y754" s="996"/>
    </row>
    <row r="755" spans="1:25" x14ac:dyDescent="0.2">
      <c r="A755" s="995"/>
      <c r="B755" s="995"/>
      <c r="C755" s="995"/>
      <c r="D755" s="995"/>
      <c r="E755" s="995"/>
      <c r="R755" s="996"/>
      <c r="S755" s="996"/>
      <c r="T755" s="996"/>
      <c r="U755" s="996"/>
      <c r="V755" s="996"/>
      <c r="W755" s="996"/>
      <c r="X755" s="996"/>
      <c r="Y755" s="996"/>
    </row>
    <row r="756" spans="1:25" x14ac:dyDescent="0.2">
      <c r="A756" s="995"/>
      <c r="B756" s="995"/>
      <c r="C756" s="995"/>
      <c r="D756" s="995"/>
      <c r="E756" s="995"/>
      <c r="R756" s="996"/>
      <c r="S756" s="996"/>
      <c r="T756" s="996"/>
      <c r="U756" s="996"/>
      <c r="V756" s="996"/>
      <c r="W756" s="996"/>
      <c r="X756" s="996"/>
      <c r="Y756" s="996"/>
    </row>
    <row r="757" spans="1:25" x14ac:dyDescent="0.2">
      <c r="A757" s="995"/>
      <c r="B757" s="995"/>
      <c r="C757" s="995"/>
      <c r="D757" s="995"/>
      <c r="E757" s="995"/>
      <c r="R757" s="996"/>
      <c r="S757" s="996"/>
      <c r="T757" s="996"/>
      <c r="U757" s="996"/>
      <c r="V757" s="996"/>
      <c r="W757" s="996"/>
      <c r="X757" s="996"/>
      <c r="Y757" s="996"/>
    </row>
    <row r="758" spans="1:25" x14ac:dyDescent="0.2">
      <c r="A758" s="995"/>
      <c r="B758" s="995"/>
      <c r="C758" s="995"/>
      <c r="D758" s="995"/>
      <c r="E758" s="995"/>
      <c r="R758" s="996"/>
      <c r="S758" s="996"/>
      <c r="T758" s="996"/>
      <c r="U758" s="996"/>
      <c r="V758" s="996"/>
      <c r="W758" s="996"/>
      <c r="X758" s="996"/>
      <c r="Y758" s="996"/>
    </row>
    <row r="759" spans="1:25" x14ac:dyDescent="0.2">
      <c r="A759" s="995"/>
      <c r="B759" s="995"/>
      <c r="C759" s="995"/>
      <c r="D759" s="995"/>
      <c r="E759" s="995"/>
      <c r="R759" s="996"/>
      <c r="S759" s="996"/>
      <c r="T759" s="996"/>
      <c r="U759" s="996"/>
      <c r="V759" s="996"/>
      <c r="W759" s="996"/>
      <c r="X759" s="996"/>
      <c r="Y759" s="996"/>
    </row>
    <row r="760" spans="1:25" x14ac:dyDescent="0.2">
      <c r="A760" s="995"/>
      <c r="B760" s="995"/>
      <c r="C760" s="995"/>
      <c r="D760" s="995"/>
      <c r="E760" s="995"/>
      <c r="R760" s="996"/>
      <c r="S760" s="996"/>
      <c r="T760" s="996"/>
      <c r="U760" s="996"/>
      <c r="V760" s="996"/>
      <c r="W760" s="996"/>
      <c r="X760" s="996"/>
      <c r="Y760" s="996"/>
    </row>
    <row r="761" spans="1:25" x14ac:dyDescent="0.2">
      <c r="A761" s="995"/>
      <c r="B761" s="995"/>
      <c r="C761" s="995"/>
      <c r="D761" s="995"/>
      <c r="E761" s="995"/>
      <c r="R761" s="996"/>
      <c r="S761" s="996"/>
      <c r="T761" s="996"/>
      <c r="U761" s="996"/>
      <c r="V761" s="996"/>
      <c r="W761" s="996"/>
      <c r="X761" s="996"/>
      <c r="Y761" s="996"/>
    </row>
    <row r="762" spans="1:25" x14ac:dyDescent="0.2">
      <c r="A762" s="995"/>
      <c r="B762" s="995"/>
      <c r="C762" s="995"/>
      <c r="D762" s="995"/>
      <c r="E762" s="995"/>
      <c r="R762" s="996"/>
      <c r="S762" s="996"/>
      <c r="T762" s="996"/>
      <c r="U762" s="996"/>
      <c r="V762" s="996"/>
      <c r="W762" s="996"/>
      <c r="X762" s="996"/>
      <c r="Y762" s="996"/>
    </row>
    <row r="763" spans="1:25" x14ac:dyDescent="0.2">
      <c r="A763" s="995"/>
      <c r="B763" s="995"/>
      <c r="C763" s="995"/>
      <c r="D763" s="995"/>
      <c r="E763" s="995"/>
      <c r="R763" s="996"/>
      <c r="S763" s="996"/>
      <c r="T763" s="996"/>
      <c r="U763" s="996"/>
      <c r="V763" s="996"/>
      <c r="W763" s="996"/>
      <c r="X763" s="996"/>
      <c r="Y763" s="996"/>
    </row>
    <row r="764" spans="1:25" x14ac:dyDescent="0.2">
      <c r="A764" s="995"/>
      <c r="B764" s="995"/>
      <c r="C764" s="995"/>
      <c r="D764" s="995"/>
      <c r="E764" s="995"/>
      <c r="R764" s="996"/>
      <c r="S764" s="996"/>
      <c r="T764" s="996"/>
      <c r="U764" s="996"/>
      <c r="V764" s="996"/>
      <c r="W764" s="996"/>
      <c r="X764" s="996"/>
      <c r="Y764" s="996"/>
    </row>
    <row r="765" spans="1:25" x14ac:dyDescent="0.2">
      <c r="A765" s="995"/>
      <c r="B765" s="995"/>
      <c r="C765" s="995"/>
      <c r="D765" s="995"/>
      <c r="E765" s="995"/>
      <c r="R765" s="996"/>
      <c r="S765" s="996"/>
      <c r="T765" s="996"/>
      <c r="U765" s="996"/>
      <c r="V765" s="996"/>
      <c r="W765" s="996"/>
      <c r="X765" s="996"/>
      <c r="Y765" s="996"/>
    </row>
    <row r="766" spans="1:25" x14ac:dyDescent="0.2">
      <c r="A766" s="995"/>
      <c r="B766" s="995"/>
      <c r="C766" s="995"/>
      <c r="D766" s="995"/>
      <c r="E766" s="995"/>
      <c r="R766" s="996"/>
      <c r="S766" s="996"/>
      <c r="T766" s="996"/>
      <c r="U766" s="996"/>
      <c r="V766" s="996"/>
      <c r="W766" s="996"/>
      <c r="X766" s="996"/>
      <c r="Y766" s="996"/>
    </row>
    <row r="767" spans="1:25" x14ac:dyDescent="0.2">
      <c r="A767" s="995"/>
      <c r="B767" s="995"/>
      <c r="C767" s="995"/>
      <c r="D767" s="995"/>
      <c r="E767" s="995"/>
      <c r="R767" s="996"/>
      <c r="S767" s="996"/>
      <c r="T767" s="996"/>
      <c r="U767" s="996"/>
      <c r="V767" s="996"/>
      <c r="W767" s="996"/>
      <c r="X767" s="996"/>
      <c r="Y767" s="996"/>
    </row>
    <row r="768" spans="1:25" x14ac:dyDescent="0.2">
      <c r="A768" s="995"/>
      <c r="B768" s="995"/>
      <c r="C768" s="995"/>
      <c r="D768" s="995"/>
      <c r="E768" s="995"/>
      <c r="R768" s="996"/>
      <c r="S768" s="996"/>
      <c r="T768" s="996"/>
      <c r="U768" s="996"/>
      <c r="V768" s="996"/>
      <c r="W768" s="996"/>
      <c r="X768" s="996"/>
      <c r="Y768" s="996"/>
    </row>
    <row r="769" spans="1:25" x14ac:dyDescent="0.2">
      <c r="A769" s="995"/>
      <c r="B769" s="995"/>
      <c r="C769" s="995"/>
      <c r="D769" s="995"/>
      <c r="E769" s="995"/>
      <c r="R769" s="996"/>
      <c r="S769" s="996"/>
      <c r="T769" s="996"/>
      <c r="U769" s="996"/>
      <c r="V769" s="996"/>
      <c r="W769" s="996"/>
      <c r="X769" s="996"/>
      <c r="Y769" s="996"/>
    </row>
    <row r="770" spans="1:25" x14ac:dyDescent="0.2">
      <c r="A770" s="995"/>
      <c r="B770" s="995"/>
      <c r="C770" s="995"/>
      <c r="D770" s="995"/>
      <c r="E770" s="995"/>
      <c r="R770" s="996"/>
      <c r="S770" s="996"/>
      <c r="T770" s="996"/>
      <c r="U770" s="996"/>
      <c r="V770" s="996"/>
      <c r="W770" s="996"/>
      <c r="X770" s="996"/>
      <c r="Y770" s="996"/>
    </row>
    <row r="771" spans="1:25" x14ac:dyDescent="0.2">
      <c r="A771" s="995"/>
      <c r="B771" s="995"/>
      <c r="C771" s="995"/>
      <c r="D771" s="995"/>
      <c r="E771" s="995"/>
      <c r="R771" s="996"/>
      <c r="S771" s="996"/>
      <c r="T771" s="996"/>
      <c r="U771" s="996"/>
      <c r="V771" s="996"/>
      <c r="W771" s="996"/>
      <c r="X771" s="996"/>
      <c r="Y771" s="996"/>
    </row>
    <row r="772" spans="1:25" x14ac:dyDescent="0.2">
      <c r="A772" s="995"/>
      <c r="B772" s="995"/>
      <c r="C772" s="995"/>
      <c r="D772" s="995"/>
      <c r="E772" s="995"/>
      <c r="R772" s="996"/>
      <c r="S772" s="996"/>
      <c r="T772" s="996"/>
      <c r="U772" s="996"/>
      <c r="V772" s="996"/>
      <c r="W772" s="996"/>
      <c r="X772" s="996"/>
      <c r="Y772" s="996"/>
    </row>
    <row r="773" spans="1:25" x14ac:dyDescent="0.2">
      <c r="A773" s="995"/>
      <c r="B773" s="995"/>
      <c r="C773" s="995"/>
      <c r="D773" s="995"/>
      <c r="E773" s="995"/>
      <c r="R773" s="996"/>
      <c r="S773" s="996"/>
      <c r="T773" s="996"/>
      <c r="U773" s="996"/>
      <c r="V773" s="996"/>
      <c r="W773" s="996"/>
      <c r="X773" s="996"/>
      <c r="Y773" s="996"/>
    </row>
    <row r="774" spans="1:25" x14ac:dyDescent="0.2">
      <c r="A774" s="995"/>
      <c r="B774" s="995"/>
      <c r="C774" s="995"/>
      <c r="D774" s="995"/>
      <c r="E774" s="995"/>
      <c r="R774" s="996"/>
      <c r="S774" s="996"/>
      <c r="T774" s="996"/>
      <c r="U774" s="996"/>
      <c r="V774" s="996"/>
      <c r="W774" s="996"/>
      <c r="X774" s="996"/>
      <c r="Y774" s="996"/>
    </row>
    <row r="775" spans="1:25" x14ac:dyDescent="0.2">
      <c r="A775" s="995"/>
      <c r="B775" s="995"/>
      <c r="C775" s="995"/>
      <c r="D775" s="995"/>
      <c r="E775" s="995"/>
      <c r="R775" s="996"/>
      <c r="S775" s="996"/>
      <c r="T775" s="996"/>
      <c r="U775" s="996"/>
      <c r="V775" s="996"/>
      <c r="W775" s="996"/>
      <c r="X775" s="996"/>
      <c r="Y775" s="996"/>
    </row>
    <row r="776" spans="1:25" x14ac:dyDescent="0.2">
      <c r="A776" s="995"/>
      <c r="B776" s="995"/>
      <c r="C776" s="995"/>
      <c r="D776" s="995"/>
      <c r="E776" s="995"/>
      <c r="R776" s="996"/>
      <c r="S776" s="996"/>
      <c r="T776" s="996"/>
      <c r="U776" s="996"/>
      <c r="V776" s="996"/>
      <c r="W776" s="996"/>
      <c r="X776" s="996"/>
      <c r="Y776" s="996"/>
    </row>
    <row r="777" spans="1:25" x14ac:dyDescent="0.2">
      <c r="A777" s="995"/>
      <c r="B777" s="995"/>
      <c r="C777" s="995"/>
      <c r="D777" s="995"/>
      <c r="E777" s="995"/>
      <c r="R777" s="996"/>
      <c r="S777" s="996"/>
      <c r="T777" s="996"/>
      <c r="U777" s="996"/>
      <c r="V777" s="996"/>
      <c r="W777" s="996"/>
      <c r="X777" s="996"/>
      <c r="Y777" s="996"/>
    </row>
    <row r="778" spans="1:25" x14ac:dyDescent="0.2">
      <c r="A778" s="995"/>
      <c r="B778" s="995"/>
      <c r="C778" s="995"/>
      <c r="D778" s="995"/>
      <c r="E778" s="995"/>
      <c r="R778" s="996"/>
      <c r="S778" s="996"/>
      <c r="T778" s="996"/>
      <c r="U778" s="996"/>
      <c r="V778" s="996"/>
      <c r="W778" s="996"/>
      <c r="X778" s="996"/>
      <c r="Y778" s="996"/>
    </row>
    <row r="779" spans="1:25" x14ac:dyDescent="0.2">
      <c r="A779" s="995"/>
      <c r="B779" s="995"/>
      <c r="C779" s="995"/>
      <c r="D779" s="995"/>
      <c r="E779" s="995"/>
      <c r="R779" s="996"/>
      <c r="S779" s="996"/>
      <c r="T779" s="996"/>
      <c r="U779" s="996"/>
      <c r="V779" s="996"/>
      <c r="W779" s="996"/>
      <c r="X779" s="996"/>
      <c r="Y779" s="996"/>
    </row>
    <row r="780" spans="1:25" x14ac:dyDescent="0.2">
      <c r="A780" s="995"/>
      <c r="B780" s="995"/>
      <c r="C780" s="995"/>
      <c r="D780" s="995"/>
      <c r="E780" s="995"/>
      <c r="R780" s="996"/>
      <c r="S780" s="996"/>
      <c r="T780" s="996"/>
      <c r="U780" s="996"/>
      <c r="V780" s="996"/>
      <c r="W780" s="996"/>
      <c r="X780" s="996"/>
      <c r="Y780" s="996"/>
    </row>
    <row r="781" spans="1:25" x14ac:dyDescent="0.2">
      <c r="A781" s="995"/>
      <c r="B781" s="995"/>
      <c r="C781" s="995"/>
      <c r="D781" s="995"/>
      <c r="E781" s="995"/>
      <c r="R781" s="996"/>
      <c r="S781" s="996"/>
      <c r="T781" s="996"/>
      <c r="U781" s="996"/>
      <c r="V781" s="996"/>
      <c r="W781" s="996"/>
      <c r="X781" s="996"/>
      <c r="Y781" s="996"/>
    </row>
    <row r="782" spans="1:25" x14ac:dyDescent="0.2">
      <c r="A782" s="995"/>
      <c r="B782" s="995"/>
      <c r="C782" s="995"/>
      <c r="D782" s="995"/>
      <c r="E782" s="995"/>
      <c r="R782" s="996"/>
      <c r="S782" s="996"/>
      <c r="T782" s="996"/>
      <c r="U782" s="996"/>
      <c r="V782" s="996"/>
      <c r="W782" s="996"/>
      <c r="X782" s="996"/>
      <c r="Y782" s="996"/>
    </row>
    <row r="783" spans="1:25" x14ac:dyDescent="0.2">
      <c r="A783" s="995"/>
      <c r="B783" s="995"/>
      <c r="C783" s="995"/>
      <c r="D783" s="995"/>
      <c r="E783" s="995"/>
      <c r="R783" s="996"/>
      <c r="S783" s="996"/>
      <c r="T783" s="996"/>
      <c r="U783" s="996"/>
      <c r="V783" s="996"/>
      <c r="W783" s="996"/>
      <c r="X783" s="996"/>
      <c r="Y783" s="996"/>
    </row>
    <row r="784" spans="1:25" x14ac:dyDescent="0.2">
      <c r="A784" s="995"/>
      <c r="B784" s="995"/>
      <c r="C784" s="995"/>
      <c r="D784" s="995"/>
      <c r="E784" s="995"/>
      <c r="R784" s="996"/>
      <c r="S784" s="996"/>
      <c r="T784" s="996"/>
      <c r="U784" s="996"/>
      <c r="V784" s="996"/>
      <c r="W784" s="996"/>
      <c r="X784" s="996"/>
      <c r="Y784" s="996"/>
    </row>
    <row r="785" spans="1:25" x14ac:dyDescent="0.2">
      <c r="A785" s="995"/>
      <c r="B785" s="995"/>
      <c r="C785" s="995"/>
      <c r="D785" s="995"/>
      <c r="E785" s="995"/>
      <c r="R785" s="996"/>
      <c r="S785" s="996"/>
      <c r="T785" s="996"/>
      <c r="U785" s="996"/>
      <c r="V785" s="996"/>
      <c r="W785" s="996"/>
      <c r="X785" s="996"/>
      <c r="Y785" s="996"/>
    </row>
    <row r="786" spans="1:25" x14ac:dyDescent="0.2">
      <c r="A786" s="995"/>
      <c r="B786" s="995"/>
      <c r="C786" s="995"/>
      <c r="D786" s="995"/>
      <c r="E786" s="995"/>
      <c r="R786" s="996"/>
      <c r="S786" s="996"/>
      <c r="T786" s="996"/>
      <c r="U786" s="996"/>
      <c r="V786" s="996"/>
      <c r="W786" s="996"/>
      <c r="X786" s="996"/>
      <c r="Y786" s="996"/>
    </row>
    <row r="787" spans="1:25" x14ac:dyDescent="0.2">
      <c r="A787" s="995"/>
      <c r="B787" s="995"/>
      <c r="C787" s="995"/>
      <c r="D787" s="995"/>
      <c r="E787" s="995"/>
      <c r="R787" s="996"/>
      <c r="S787" s="996"/>
      <c r="T787" s="996"/>
      <c r="U787" s="996"/>
      <c r="V787" s="996"/>
      <c r="W787" s="996"/>
      <c r="X787" s="996"/>
      <c r="Y787" s="996"/>
    </row>
    <row r="788" spans="1:25" x14ac:dyDescent="0.2">
      <c r="A788" s="995"/>
      <c r="B788" s="995"/>
      <c r="C788" s="995"/>
      <c r="D788" s="995"/>
      <c r="E788" s="995"/>
      <c r="R788" s="996"/>
      <c r="S788" s="996"/>
      <c r="T788" s="996"/>
      <c r="U788" s="996"/>
      <c r="V788" s="996"/>
      <c r="W788" s="996"/>
      <c r="X788" s="996"/>
      <c r="Y788" s="996"/>
    </row>
    <row r="789" spans="1:25" x14ac:dyDescent="0.2">
      <c r="A789" s="995"/>
      <c r="B789" s="995"/>
      <c r="C789" s="995"/>
      <c r="D789" s="995"/>
      <c r="E789" s="995"/>
      <c r="R789" s="996"/>
      <c r="S789" s="996"/>
      <c r="T789" s="996"/>
      <c r="U789" s="996"/>
      <c r="V789" s="996"/>
      <c r="W789" s="996"/>
      <c r="X789" s="996"/>
      <c r="Y789" s="996"/>
    </row>
    <row r="790" spans="1:25" x14ac:dyDescent="0.2">
      <c r="A790" s="995"/>
      <c r="B790" s="995"/>
      <c r="C790" s="995"/>
      <c r="D790" s="995"/>
      <c r="E790" s="995"/>
      <c r="R790" s="996"/>
      <c r="S790" s="996"/>
      <c r="T790" s="996"/>
      <c r="U790" s="996"/>
      <c r="V790" s="996"/>
      <c r="W790" s="996"/>
      <c r="X790" s="996"/>
      <c r="Y790" s="996"/>
    </row>
    <row r="791" spans="1:25" x14ac:dyDescent="0.2">
      <c r="A791" s="995"/>
      <c r="B791" s="995"/>
      <c r="C791" s="995"/>
      <c r="D791" s="995"/>
      <c r="E791" s="995"/>
      <c r="R791" s="996"/>
      <c r="S791" s="996"/>
      <c r="T791" s="996"/>
      <c r="U791" s="996"/>
      <c r="V791" s="996"/>
      <c r="W791" s="996"/>
      <c r="X791" s="996"/>
      <c r="Y791" s="996"/>
    </row>
    <row r="792" spans="1:25" x14ac:dyDescent="0.2">
      <c r="A792" s="995"/>
      <c r="B792" s="995"/>
      <c r="C792" s="995"/>
      <c r="D792" s="995"/>
      <c r="E792" s="995"/>
      <c r="R792" s="996"/>
      <c r="S792" s="996"/>
      <c r="T792" s="996"/>
      <c r="U792" s="996"/>
      <c r="V792" s="996"/>
      <c r="W792" s="996"/>
      <c r="X792" s="996"/>
      <c r="Y792" s="996"/>
    </row>
    <row r="793" spans="1:25" x14ac:dyDescent="0.2">
      <c r="A793" s="995"/>
      <c r="B793" s="995"/>
      <c r="C793" s="995"/>
      <c r="D793" s="995"/>
      <c r="E793" s="995"/>
      <c r="R793" s="996"/>
      <c r="S793" s="996"/>
      <c r="T793" s="996"/>
      <c r="U793" s="996"/>
      <c r="V793" s="996"/>
      <c r="W793" s="996"/>
      <c r="X793" s="996"/>
      <c r="Y793" s="996"/>
    </row>
    <row r="794" spans="1:25" x14ac:dyDescent="0.2">
      <c r="A794" s="995"/>
      <c r="B794" s="995"/>
      <c r="C794" s="995"/>
      <c r="D794" s="995"/>
      <c r="E794" s="995"/>
      <c r="R794" s="996"/>
      <c r="S794" s="996"/>
      <c r="T794" s="996"/>
      <c r="U794" s="996"/>
      <c r="V794" s="996"/>
      <c r="W794" s="996"/>
      <c r="X794" s="996"/>
      <c r="Y794" s="996"/>
    </row>
    <row r="795" spans="1:25" x14ac:dyDescent="0.2">
      <c r="A795" s="995"/>
      <c r="B795" s="995"/>
      <c r="C795" s="995"/>
      <c r="D795" s="995"/>
      <c r="E795" s="995"/>
      <c r="R795" s="996"/>
      <c r="S795" s="996"/>
      <c r="T795" s="996"/>
      <c r="U795" s="996"/>
      <c r="V795" s="996"/>
      <c r="W795" s="996"/>
      <c r="X795" s="996"/>
      <c r="Y795" s="996"/>
    </row>
    <row r="796" spans="1:25" x14ac:dyDescent="0.2">
      <c r="A796" s="995"/>
      <c r="B796" s="995"/>
      <c r="C796" s="995"/>
      <c r="D796" s="995"/>
      <c r="E796" s="995"/>
      <c r="R796" s="996"/>
      <c r="S796" s="996"/>
      <c r="T796" s="996"/>
      <c r="U796" s="996"/>
      <c r="V796" s="996"/>
      <c r="W796" s="996"/>
      <c r="X796" s="996"/>
      <c r="Y796" s="996"/>
    </row>
    <row r="797" spans="1:25" x14ac:dyDescent="0.2">
      <c r="A797" s="995"/>
      <c r="B797" s="995"/>
      <c r="C797" s="995"/>
      <c r="D797" s="995"/>
      <c r="E797" s="995"/>
      <c r="R797" s="996"/>
      <c r="S797" s="996"/>
      <c r="T797" s="996"/>
      <c r="U797" s="996"/>
      <c r="V797" s="996"/>
      <c r="W797" s="996"/>
      <c r="X797" s="996"/>
      <c r="Y797" s="996"/>
    </row>
    <row r="798" spans="1:25" x14ac:dyDescent="0.2">
      <c r="A798" s="995"/>
      <c r="B798" s="995"/>
      <c r="C798" s="995"/>
      <c r="D798" s="995"/>
      <c r="E798" s="995"/>
      <c r="R798" s="996"/>
      <c r="S798" s="996"/>
      <c r="T798" s="996"/>
      <c r="U798" s="996"/>
      <c r="V798" s="996"/>
      <c r="W798" s="996"/>
      <c r="X798" s="996"/>
      <c r="Y798" s="996"/>
    </row>
    <row r="799" spans="1:25" x14ac:dyDescent="0.2">
      <c r="A799" s="995"/>
      <c r="B799" s="995"/>
      <c r="C799" s="995"/>
      <c r="D799" s="995"/>
      <c r="E799" s="995"/>
      <c r="R799" s="996"/>
      <c r="S799" s="996"/>
      <c r="T799" s="996"/>
      <c r="U799" s="996"/>
      <c r="V799" s="996"/>
      <c r="W799" s="996"/>
      <c r="X799" s="996"/>
      <c r="Y799" s="996"/>
    </row>
    <row r="800" spans="1:25" x14ac:dyDescent="0.2">
      <c r="A800" s="995"/>
      <c r="B800" s="995"/>
      <c r="C800" s="995"/>
      <c r="D800" s="995"/>
      <c r="E800" s="995"/>
      <c r="R800" s="996"/>
      <c r="S800" s="996"/>
      <c r="T800" s="996"/>
      <c r="U800" s="996"/>
      <c r="V800" s="996"/>
      <c r="W800" s="996"/>
      <c r="X800" s="996"/>
      <c r="Y800" s="996"/>
    </row>
    <row r="801" spans="1:25" x14ac:dyDescent="0.2">
      <c r="A801" s="995"/>
      <c r="B801" s="995"/>
      <c r="C801" s="995"/>
      <c r="D801" s="995"/>
      <c r="E801" s="995"/>
      <c r="R801" s="996"/>
      <c r="S801" s="996"/>
      <c r="T801" s="996"/>
      <c r="U801" s="996"/>
      <c r="V801" s="996"/>
      <c r="W801" s="996"/>
      <c r="X801" s="996"/>
      <c r="Y801" s="996"/>
    </row>
    <row r="802" spans="1:25" x14ac:dyDescent="0.2">
      <c r="A802" s="995"/>
      <c r="B802" s="995"/>
      <c r="C802" s="995"/>
      <c r="D802" s="995"/>
      <c r="E802" s="995"/>
      <c r="R802" s="996"/>
      <c r="S802" s="996"/>
      <c r="T802" s="996"/>
      <c r="U802" s="996"/>
      <c r="V802" s="996"/>
      <c r="W802" s="996"/>
      <c r="X802" s="996"/>
      <c r="Y802" s="996"/>
    </row>
    <row r="803" spans="1:25" x14ac:dyDescent="0.2">
      <c r="A803" s="995"/>
      <c r="B803" s="995"/>
      <c r="C803" s="995"/>
      <c r="D803" s="995"/>
      <c r="E803" s="995"/>
      <c r="R803" s="996"/>
      <c r="S803" s="996"/>
      <c r="T803" s="996"/>
      <c r="U803" s="996"/>
      <c r="V803" s="996"/>
      <c r="W803" s="996"/>
      <c r="X803" s="996"/>
      <c r="Y803" s="996"/>
    </row>
    <row r="804" spans="1:25" x14ac:dyDescent="0.2">
      <c r="A804" s="995"/>
      <c r="B804" s="995"/>
      <c r="C804" s="995"/>
      <c r="D804" s="995"/>
      <c r="E804" s="995"/>
      <c r="R804" s="996"/>
      <c r="S804" s="996"/>
      <c r="T804" s="996"/>
      <c r="U804" s="996"/>
      <c r="V804" s="996"/>
      <c r="W804" s="996"/>
      <c r="X804" s="996"/>
      <c r="Y804" s="996"/>
    </row>
    <row r="805" spans="1:25" x14ac:dyDescent="0.2">
      <c r="A805" s="995"/>
      <c r="B805" s="995"/>
      <c r="C805" s="995"/>
      <c r="D805" s="995"/>
      <c r="E805" s="995"/>
      <c r="R805" s="996"/>
      <c r="S805" s="996"/>
      <c r="T805" s="996"/>
      <c r="U805" s="996"/>
      <c r="V805" s="996"/>
      <c r="W805" s="996"/>
      <c r="X805" s="996"/>
      <c r="Y805" s="996"/>
    </row>
    <row r="806" spans="1:25" x14ac:dyDescent="0.2">
      <c r="A806" s="995"/>
      <c r="B806" s="995"/>
      <c r="C806" s="995"/>
      <c r="D806" s="995"/>
      <c r="E806" s="995"/>
      <c r="R806" s="996"/>
      <c r="S806" s="996"/>
      <c r="T806" s="996"/>
      <c r="U806" s="996"/>
      <c r="V806" s="996"/>
      <c r="W806" s="996"/>
      <c r="X806" s="996"/>
      <c r="Y806" s="996"/>
    </row>
    <row r="807" spans="1:25" x14ac:dyDescent="0.2">
      <c r="A807" s="995"/>
      <c r="B807" s="995"/>
      <c r="C807" s="995"/>
      <c r="D807" s="995"/>
      <c r="E807" s="995"/>
      <c r="R807" s="996"/>
      <c r="S807" s="996"/>
      <c r="T807" s="996"/>
      <c r="U807" s="996"/>
      <c r="V807" s="996"/>
      <c r="W807" s="996"/>
      <c r="X807" s="996"/>
      <c r="Y807" s="996"/>
    </row>
    <row r="808" spans="1:25" x14ac:dyDescent="0.2">
      <c r="A808" s="995"/>
      <c r="B808" s="995"/>
      <c r="C808" s="995"/>
      <c r="D808" s="995"/>
      <c r="E808" s="995"/>
      <c r="R808" s="996"/>
      <c r="S808" s="996"/>
      <c r="T808" s="996"/>
      <c r="U808" s="996"/>
      <c r="V808" s="996"/>
      <c r="W808" s="996"/>
      <c r="X808" s="996"/>
      <c r="Y808" s="996"/>
    </row>
    <row r="809" spans="1:25" x14ac:dyDescent="0.2">
      <c r="A809" s="995"/>
      <c r="B809" s="995"/>
      <c r="C809" s="995"/>
      <c r="D809" s="995"/>
      <c r="E809" s="995"/>
      <c r="R809" s="996"/>
      <c r="S809" s="996"/>
      <c r="T809" s="996"/>
      <c r="U809" s="996"/>
      <c r="V809" s="996"/>
      <c r="W809" s="996"/>
      <c r="X809" s="996"/>
      <c r="Y809" s="996"/>
    </row>
    <row r="810" spans="1:25" x14ac:dyDescent="0.2">
      <c r="A810" s="995"/>
      <c r="B810" s="995"/>
      <c r="C810" s="995"/>
      <c r="D810" s="995"/>
      <c r="E810" s="995"/>
      <c r="R810" s="996"/>
      <c r="S810" s="996"/>
      <c r="T810" s="996"/>
      <c r="U810" s="996"/>
      <c r="V810" s="996"/>
      <c r="W810" s="996"/>
      <c r="X810" s="996"/>
      <c r="Y810" s="996"/>
    </row>
    <row r="811" spans="1:25" x14ac:dyDescent="0.2">
      <c r="A811" s="995"/>
      <c r="B811" s="995"/>
      <c r="C811" s="995"/>
      <c r="D811" s="995"/>
      <c r="E811" s="995"/>
      <c r="R811" s="996"/>
      <c r="S811" s="996"/>
      <c r="T811" s="996"/>
      <c r="U811" s="996"/>
      <c r="V811" s="996"/>
      <c r="W811" s="996"/>
      <c r="X811" s="996"/>
      <c r="Y811" s="996"/>
    </row>
    <row r="812" spans="1:25" x14ac:dyDescent="0.2">
      <c r="A812" s="995"/>
      <c r="B812" s="995"/>
      <c r="C812" s="995"/>
      <c r="D812" s="995"/>
      <c r="E812" s="995"/>
      <c r="R812" s="996"/>
      <c r="S812" s="996"/>
      <c r="T812" s="996"/>
      <c r="U812" s="996"/>
      <c r="V812" s="996"/>
      <c r="W812" s="996"/>
      <c r="X812" s="996"/>
      <c r="Y812" s="996"/>
    </row>
    <row r="813" spans="1:25" x14ac:dyDescent="0.2">
      <c r="A813" s="995"/>
      <c r="B813" s="995"/>
      <c r="C813" s="995"/>
      <c r="D813" s="995"/>
      <c r="E813" s="995"/>
      <c r="R813" s="996"/>
      <c r="S813" s="996"/>
      <c r="T813" s="996"/>
      <c r="U813" s="996"/>
      <c r="V813" s="996"/>
      <c r="W813" s="996"/>
      <c r="X813" s="996"/>
      <c r="Y813" s="996"/>
    </row>
    <row r="814" spans="1:25" x14ac:dyDescent="0.2">
      <c r="A814" s="995"/>
      <c r="B814" s="995"/>
      <c r="C814" s="995"/>
      <c r="D814" s="995"/>
      <c r="E814" s="995"/>
      <c r="R814" s="996"/>
      <c r="S814" s="996"/>
      <c r="T814" s="996"/>
      <c r="U814" s="996"/>
      <c r="V814" s="996"/>
      <c r="W814" s="996"/>
      <c r="X814" s="996"/>
      <c r="Y814" s="996"/>
    </row>
    <row r="815" spans="1:25" x14ac:dyDescent="0.2">
      <c r="A815" s="995"/>
      <c r="B815" s="995"/>
      <c r="C815" s="995"/>
      <c r="D815" s="995"/>
      <c r="E815" s="995"/>
      <c r="R815" s="996"/>
      <c r="S815" s="996"/>
      <c r="T815" s="996"/>
      <c r="U815" s="996"/>
      <c r="V815" s="996"/>
      <c r="W815" s="996"/>
      <c r="X815" s="996"/>
      <c r="Y815" s="996"/>
    </row>
    <row r="816" spans="1:25" x14ac:dyDescent="0.2">
      <c r="A816" s="995"/>
      <c r="B816" s="995"/>
      <c r="C816" s="995"/>
      <c r="D816" s="995"/>
      <c r="E816" s="995"/>
      <c r="R816" s="996"/>
      <c r="S816" s="996"/>
      <c r="T816" s="996"/>
      <c r="U816" s="996"/>
      <c r="V816" s="996"/>
      <c r="W816" s="996"/>
      <c r="X816" s="996"/>
      <c r="Y816" s="996"/>
    </row>
    <row r="817" spans="1:25" x14ac:dyDescent="0.2">
      <c r="A817" s="995"/>
      <c r="B817" s="995"/>
      <c r="C817" s="995"/>
      <c r="D817" s="995"/>
      <c r="E817" s="995"/>
      <c r="R817" s="996"/>
      <c r="S817" s="996"/>
      <c r="T817" s="996"/>
      <c r="U817" s="996"/>
      <c r="V817" s="996"/>
      <c r="W817" s="996"/>
      <c r="X817" s="996"/>
      <c r="Y817" s="996"/>
    </row>
    <row r="818" spans="1:25" x14ac:dyDescent="0.2">
      <c r="A818" s="995"/>
      <c r="B818" s="995"/>
      <c r="C818" s="995"/>
      <c r="D818" s="995"/>
      <c r="E818" s="995"/>
      <c r="R818" s="996"/>
      <c r="S818" s="996"/>
      <c r="T818" s="996"/>
      <c r="U818" s="996"/>
      <c r="V818" s="996"/>
      <c r="W818" s="996"/>
      <c r="X818" s="996"/>
      <c r="Y818" s="996"/>
    </row>
    <row r="819" spans="1:25" x14ac:dyDescent="0.2">
      <c r="A819" s="995"/>
      <c r="B819" s="995"/>
      <c r="C819" s="995"/>
      <c r="D819" s="995"/>
      <c r="E819" s="995"/>
      <c r="R819" s="996"/>
      <c r="S819" s="996"/>
      <c r="T819" s="996"/>
      <c r="U819" s="996"/>
      <c r="V819" s="996"/>
      <c r="W819" s="996"/>
      <c r="X819" s="996"/>
      <c r="Y819" s="996"/>
    </row>
    <row r="820" spans="1:25" x14ac:dyDescent="0.2">
      <c r="A820" s="995"/>
      <c r="B820" s="995"/>
      <c r="C820" s="995"/>
      <c r="D820" s="995"/>
      <c r="E820" s="995"/>
      <c r="R820" s="996"/>
      <c r="S820" s="996"/>
      <c r="T820" s="996"/>
      <c r="U820" s="996"/>
      <c r="V820" s="996"/>
      <c r="W820" s="996"/>
      <c r="X820" s="996"/>
      <c r="Y820" s="996"/>
    </row>
    <row r="821" spans="1:25" x14ac:dyDescent="0.2">
      <c r="A821" s="995"/>
      <c r="B821" s="995"/>
      <c r="C821" s="995"/>
      <c r="D821" s="995"/>
      <c r="E821" s="995"/>
      <c r="R821" s="996"/>
      <c r="S821" s="996"/>
      <c r="T821" s="996"/>
      <c r="U821" s="996"/>
      <c r="V821" s="996"/>
      <c r="W821" s="996"/>
      <c r="X821" s="996"/>
      <c r="Y821" s="996"/>
    </row>
    <row r="822" spans="1:25" x14ac:dyDescent="0.2">
      <c r="A822" s="995"/>
      <c r="B822" s="995"/>
      <c r="C822" s="995"/>
      <c r="D822" s="995"/>
      <c r="E822" s="995"/>
      <c r="R822" s="996"/>
      <c r="S822" s="996"/>
      <c r="T822" s="996"/>
      <c r="U822" s="996"/>
      <c r="V822" s="996"/>
      <c r="W822" s="996"/>
      <c r="X822" s="996"/>
      <c r="Y822" s="996"/>
    </row>
    <row r="823" spans="1:25" x14ac:dyDescent="0.2">
      <c r="A823" s="995"/>
      <c r="B823" s="995"/>
      <c r="C823" s="995"/>
      <c r="D823" s="995"/>
      <c r="E823" s="995"/>
      <c r="R823" s="996"/>
      <c r="S823" s="996"/>
      <c r="T823" s="996"/>
      <c r="U823" s="996"/>
      <c r="V823" s="996"/>
      <c r="W823" s="996"/>
      <c r="X823" s="996"/>
      <c r="Y823" s="996"/>
    </row>
    <row r="824" spans="1:25" x14ac:dyDescent="0.2">
      <c r="A824" s="995"/>
      <c r="B824" s="995"/>
      <c r="C824" s="995"/>
      <c r="D824" s="995"/>
      <c r="E824" s="995"/>
      <c r="R824" s="996"/>
      <c r="S824" s="996"/>
      <c r="T824" s="996"/>
      <c r="U824" s="996"/>
      <c r="V824" s="996"/>
      <c r="W824" s="996"/>
      <c r="X824" s="996"/>
      <c r="Y824" s="996"/>
    </row>
    <row r="825" spans="1:25" x14ac:dyDescent="0.2">
      <c r="A825" s="995"/>
      <c r="B825" s="995"/>
      <c r="C825" s="995"/>
      <c r="D825" s="995"/>
      <c r="E825" s="995"/>
      <c r="R825" s="996"/>
      <c r="S825" s="996"/>
      <c r="T825" s="996"/>
      <c r="U825" s="996"/>
      <c r="V825" s="996"/>
      <c r="W825" s="996"/>
      <c r="X825" s="996"/>
      <c r="Y825" s="996"/>
    </row>
    <row r="826" spans="1:25" x14ac:dyDescent="0.2">
      <c r="A826" s="995"/>
      <c r="B826" s="995"/>
      <c r="C826" s="995"/>
      <c r="D826" s="995"/>
      <c r="E826" s="995"/>
      <c r="R826" s="996"/>
      <c r="S826" s="996"/>
      <c r="T826" s="996"/>
      <c r="U826" s="996"/>
      <c r="V826" s="996"/>
      <c r="W826" s="996"/>
      <c r="X826" s="996"/>
      <c r="Y826" s="996"/>
    </row>
    <row r="827" spans="1:25" x14ac:dyDescent="0.2">
      <c r="A827" s="995"/>
      <c r="B827" s="995"/>
      <c r="C827" s="995"/>
      <c r="D827" s="995"/>
      <c r="E827" s="995"/>
      <c r="R827" s="996"/>
      <c r="S827" s="996"/>
      <c r="T827" s="996"/>
      <c r="U827" s="996"/>
      <c r="V827" s="996"/>
      <c r="W827" s="996"/>
      <c r="X827" s="996"/>
      <c r="Y827" s="996"/>
    </row>
    <row r="828" spans="1:25" x14ac:dyDescent="0.2">
      <c r="A828" s="995"/>
      <c r="B828" s="995"/>
      <c r="C828" s="995"/>
      <c r="D828" s="995"/>
      <c r="E828" s="995"/>
      <c r="R828" s="996"/>
      <c r="S828" s="996"/>
      <c r="T828" s="996"/>
      <c r="U828" s="996"/>
      <c r="V828" s="996"/>
      <c r="W828" s="996"/>
      <c r="X828" s="996"/>
      <c r="Y828" s="996"/>
    </row>
    <row r="829" spans="1:25" x14ac:dyDescent="0.2">
      <c r="A829" s="995"/>
      <c r="B829" s="995"/>
      <c r="C829" s="995"/>
      <c r="D829" s="995"/>
      <c r="E829" s="995"/>
      <c r="R829" s="996"/>
      <c r="S829" s="996"/>
      <c r="T829" s="996"/>
      <c r="U829" s="996"/>
      <c r="V829" s="996"/>
      <c r="W829" s="996"/>
      <c r="X829" s="996"/>
      <c r="Y829" s="996"/>
    </row>
    <row r="830" spans="1:25" x14ac:dyDescent="0.2">
      <c r="A830" s="995"/>
      <c r="B830" s="995"/>
      <c r="C830" s="995"/>
      <c r="D830" s="995"/>
      <c r="E830" s="995"/>
      <c r="R830" s="996"/>
      <c r="S830" s="996"/>
      <c r="T830" s="996"/>
      <c r="U830" s="996"/>
      <c r="V830" s="996"/>
      <c r="W830" s="996"/>
      <c r="X830" s="996"/>
      <c r="Y830" s="996"/>
    </row>
    <row r="831" spans="1:25" x14ac:dyDescent="0.2">
      <c r="A831" s="995"/>
      <c r="B831" s="995"/>
      <c r="C831" s="995"/>
      <c r="D831" s="995"/>
      <c r="E831" s="995"/>
      <c r="R831" s="996"/>
      <c r="S831" s="996"/>
      <c r="T831" s="996"/>
      <c r="U831" s="996"/>
      <c r="V831" s="996"/>
      <c r="W831" s="996"/>
      <c r="X831" s="996"/>
      <c r="Y831" s="996"/>
    </row>
    <row r="832" spans="1:25" x14ac:dyDescent="0.2">
      <c r="A832" s="995"/>
      <c r="B832" s="995"/>
      <c r="C832" s="995"/>
      <c r="D832" s="995"/>
      <c r="E832" s="995"/>
      <c r="R832" s="996"/>
      <c r="S832" s="996"/>
      <c r="T832" s="996"/>
      <c r="U832" s="996"/>
      <c r="V832" s="996"/>
      <c r="W832" s="996"/>
      <c r="X832" s="996"/>
      <c r="Y832" s="996"/>
    </row>
    <row r="833" spans="1:25" x14ac:dyDescent="0.2">
      <c r="A833" s="995"/>
      <c r="B833" s="995"/>
      <c r="C833" s="995"/>
      <c r="D833" s="995"/>
      <c r="E833" s="995"/>
      <c r="R833" s="996"/>
      <c r="S833" s="996"/>
      <c r="T833" s="996"/>
      <c r="U833" s="996"/>
      <c r="V833" s="996"/>
      <c r="W833" s="996"/>
      <c r="X833" s="996"/>
      <c r="Y833" s="996"/>
    </row>
    <row r="834" spans="1:25" x14ac:dyDescent="0.2">
      <c r="A834" s="995"/>
      <c r="B834" s="995"/>
      <c r="C834" s="995"/>
      <c r="D834" s="995"/>
      <c r="E834" s="995"/>
      <c r="R834" s="996"/>
      <c r="S834" s="996"/>
      <c r="T834" s="996"/>
      <c r="U834" s="996"/>
      <c r="V834" s="996"/>
      <c r="W834" s="996"/>
      <c r="X834" s="996"/>
      <c r="Y834" s="996"/>
    </row>
    <row r="835" spans="1:25" x14ac:dyDescent="0.2">
      <c r="A835" s="995"/>
      <c r="B835" s="995"/>
      <c r="C835" s="995"/>
      <c r="D835" s="995"/>
      <c r="E835" s="995"/>
      <c r="R835" s="996"/>
      <c r="S835" s="996"/>
      <c r="T835" s="996"/>
      <c r="U835" s="996"/>
      <c r="V835" s="996"/>
      <c r="W835" s="996"/>
      <c r="X835" s="996"/>
      <c r="Y835" s="996"/>
    </row>
    <row r="836" spans="1:25" x14ac:dyDescent="0.2">
      <c r="A836" s="995"/>
      <c r="B836" s="995"/>
      <c r="C836" s="995"/>
      <c r="D836" s="995"/>
      <c r="E836" s="995"/>
      <c r="R836" s="996"/>
      <c r="S836" s="996"/>
      <c r="T836" s="996"/>
      <c r="U836" s="996"/>
      <c r="V836" s="996"/>
      <c r="W836" s="996"/>
      <c r="X836" s="996"/>
      <c r="Y836" s="996"/>
    </row>
    <row r="837" spans="1:25" x14ac:dyDescent="0.2">
      <c r="A837" s="995"/>
      <c r="B837" s="995"/>
      <c r="C837" s="995"/>
      <c r="D837" s="995"/>
      <c r="E837" s="995"/>
      <c r="R837" s="996"/>
      <c r="S837" s="996"/>
      <c r="T837" s="996"/>
      <c r="U837" s="996"/>
      <c r="V837" s="996"/>
      <c r="W837" s="996"/>
      <c r="X837" s="996"/>
      <c r="Y837" s="996"/>
    </row>
    <row r="838" spans="1:25" x14ac:dyDescent="0.2">
      <c r="A838" s="995"/>
      <c r="B838" s="995"/>
      <c r="C838" s="995"/>
      <c r="D838" s="995"/>
      <c r="E838" s="995"/>
      <c r="R838" s="996"/>
      <c r="S838" s="996"/>
      <c r="T838" s="996"/>
      <c r="U838" s="996"/>
      <c r="V838" s="996"/>
      <c r="W838" s="996"/>
      <c r="X838" s="996"/>
      <c r="Y838" s="996"/>
    </row>
    <row r="839" spans="1:25" x14ac:dyDescent="0.2">
      <c r="A839" s="995"/>
      <c r="B839" s="995"/>
      <c r="C839" s="995"/>
      <c r="D839" s="995"/>
      <c r="E839" s="995"/>
      <c r="R839" s="996"/>
      <c r="S839" s="996"/>
      <c r="T839" s="996"/>
      <c r="U839" s="996"/>
      <c r="V839" s="996"/>
      <c r="W839" s="996"/>
      <c r="X839" s="996"/>
      <c r="Y839" s="996"/>
    </row>
    <row r="840" spans="1:25" x14ac:dyDescent="0.2">
      <c r="A840" s="995"/>
      <c r="B840" s="995"/>
      <c r="C840" s="995"/>
      <c r="D840" s="995"/>
      <c r="E840" s="995"/>
      <c r="R840" s="996"/>
      <c r="S840" s="996"/>
      <c r="T840" s="996"/>
      <c r="U840" s="996"/>
      <c r="V840" s="996"/>
      <c r="W840" s="996"/>
      <c r="X840" s="996"/>
      <c r="Y840" s="996"/>
    </row>
    <row r="841" spans="1:25" x14ac:dyDescent="0.2">
      <c r="A841" s="995"/>
      <c r="B841" s="995"/>
      <c r="C841" s="995"/>
      <c r="D841" s="995"/>
      <c r="E841" s="995"/>
      <c r="R841" s="996"/>
      <c r="S841" s="996"/>
      <c r="T841" s="996"/>
      <c r="U841" s="996"/>
      <c r="V841" s="996"/>
      <c r="W841" s="996"/>
      <c r="X841" s="996"/>
      <c r="Y841" s="996"/>
    </row>
    <row r="842" spans="1:25" x14ac:dyDescent="0.2">
      <c r="A842" s="995"/>
      <c r="B842" s="995"/>
      <c r="C842" s="995"/>
      <c r="D842" s="995"/>
      <c r="E842" s="995"/>
      <c r="R842" s="996"/>
      <c r="S842" s="996"/>
      <c r="T842" s="996"/>
      <c r="U842" s="996"/>
      <c r="V842" s="996"/>
      <c r="W842" s="996"/>
      <c r="X842" s="996"/>
      <c r="Y842" s="996"/>
    </row>
    <row r="843" spans="1:25" x14ac:dyDescent="0.2">
      <c r="A843" s="995"/>
      <c r="B843" s="995"/>
      <c r="C843" s="995"/>
      <c r="D843" s="995"/>
      <c r="E843" s="995"/>
      <c r="R843" s="996"/>
      <c r="S843" s="996"/>
      <c r="T843" s="996"/>
      <c r="U843" s="996"/>
      <c r="V843" s="996"/>
      <c r="W843" s="996"/>
      <c r="X843" s="996"/>
      <c r="Y843" s="996"/>
    </row>
    <row r="844" spans="1:25" x14ac:dyDescent="0.2">
      <c r="A844" s="995"/>
      <c r="B844" s="995"/>
      <c r="C844" s="995"/>
      <c r="D844" s="995"/>
      <c r="E844" s="995"/>
      <c r="R844" s="996"/>
      <c r="S844" s="996"/>
      <c r="T844" s="996"/>
      <c r="U844" s="996"/>
      <c r="V844" s="996"/>
      <c r="W844" s="996"/>
      <c r="X844" s="996"/>
      <c r="Y844" s="996"/>
    </row>
    <row r="845" spans="1:25" x14ac:dyDescent="0.2">
      <c r="A845" s="995"/>
      <c r="B845" s="995"/>
      <c r="C845" s="995"/>
      <c r="D845" s="995"/>
      <c r="E845" s="995"/>
      <c r="R845" s="996"/>
      <c r="S845" s="996"/>
      <c r="T845" s="996"/>
      <c r="U845" s="996"/>
      <c r="V845" s="996"/>
      <c r="W845" s="996"/>
      <c r="X845" s="996"/>
      <c r="Y845" s="996"/>
    </row>
    <row r="846" spans="1:25" x14ac:dyDescent="0.2">
      <c r="A846" s="995"/>
      <c r="B846" s="995"/>
      <c r="C846" s="995"/>
      <c r="D846" s="995"/>
      <c r="E846" s="995"/>
      <c r="R846" s="996"/>
      <c r="S846" s="996"/>
      <c r="T846" s="996"/>
      <c r="U846" s="996"/>
      <c r="V846" s="996"/>
      <c r="W846" s="996"/>
      <c r="X846" s="996"/>
      <c r="Y846" s="996"/>
    </row>
    <row r="847" spans="1:25" x14ac:dyDescent="0.2">
      <c r="A847" s="995"/>
      <c r="B847" s="995"/>
      <c r="C847" s="995"/>
      <c r="D847" s="995"/>
      <c r="E847" s="995"/>
      <c r="R847" s="996"/>
      <c r="S847" s="996"/>
      <c r="T847" s="996"/>
      <c r="U847" s="996"/>
      <c r="V847" s="996"/>
      <c r="W847" s="996"/>
      <c r="X847" s="996"/>
      <c r="Y847" s="996"/>
    </row>
    <row r="848" spans="1:25" x14ac:dyDescent="0.2">
      <c r="A848" s="995"/>
      <c r="B848" s="995"/>
      <c r="C848" s="995"/>
      <c r="D848" s="995"/>
      <c r="E848" s="995"/>
      <c r="R848" s="996"/>
      <c r="S848" s="996"/>
      <c r="T848" s="996"/>
      <c r="U848" s="996"/>
      <c r="V848" s="996"/>
      <c r="W848" s="996"/>
      <c r="X848" s="996"/>
      <c r="Y848" s="996"/>
    </row>
    <row r="849" spans="1:25" x14ac:dyDescent="0.2">
      <c r="A849" s="995"/>
      <c r="B849" s="995"/>
      <c r="C849" s="995"/>
      <c r="D849" s="995"/>
      <c r="E849" s="995"/>
      <c r="R849" s="996"/>
      <c r="S849" s="996"/>
      <c r="T849" s="996"/>
      <c r="U849" s="996"/>
      <c r="V849" s="996"/>
      <c r="W849" s="996"/>
      <c r="X849" s="996"/>
      <c r="Y849" s="996"/>
    </row>
    <row r="850" spans="1:25" x14ac:dyDescent="0.2">
      <c r="A850" s="995"/>
      <c r="B850" s="995"/>
      <c r="C850" s="995"/>
      <c r="D850" s="995"/>
      <c r="E850" s="995"/>
      <c r="R850" s="996"/>
      <c r="S850" s="996"/>
      <c r="T850" s="996"/>
      <c r="U850" s="996"/>
      <c r="V850" s="996"/>
      <c r="W850" s="996"/>
      <c r="X850" s="996"/>
      <c r="Y850" s="996"/>
    </row>
    <row r="851" spans="1:25" x14ac:dyDescent="0.2">
      <c r="A851" s="995"/>
      <c r="B851" s="995"/>
      <c r="C851" s="995"/>
      <c r="D851" s="995"/>
      <c r="E851" s="995"/>
      <c r="R851" s="996"/>
      <c r="S851" s="996"/>
      <c r="T851" s="996"/>
      <c r="U851" s="996"/>
      <c r="V851" s="996"/>
      <c r="W851" s="996"/>
      <c r="X851" s="996"/>
      <c r="Y851" s="996"/>
    </row>
    <row r="852" spans="1:25" x14ac:dyDescent="0.2">
      <c r="A852" s="995"/>
      <c r="B852" s="995"/>
      <c r="C852" s="995"/>
      <c r="D852" s="995"/>
      <c r="E852" s="995"/>
      <c r="R852" s="996"/>
      <c r="S852" s="996"/>
      <c r="T852" s="996"/>
      <c r="U852" s="996"/>
      <c r="V852" s="996"/>
      <c r="W852" s="996"/>
      <c r="X852" s="996"/>
      <c r="Y852" s="996"/>
    </row>
    <row r="853" spans="1:25" x14ac:dyDescent="0.2">
      <c r="A853" s="995"/>
      <c r="B853" s="995"/>
      <c r="C853" s="995"/>
      <c r="D853" s="995"/>
      <c r="E853" s="995"/>
      <c r="R853" s="996"/>
      <c r="S853" s="996"/>
      <c r="T853" s="996"/>
      <c r="U853" s="996"/>
      <c r="V853" s="996"/>
      <c r="W853" s="996"/>
      <c r="X853" s="996"/>
      <c r="Y853" s="996"/>
    </row>
    <row r="854" spans="1:25" x14ac:dyDescent="0.2">
      <c r="A854" s="995"/>
      <c r="B854" s="995"/>
      <c r="C854" s="995"/>
      <c r="D854" s="995"/>
      <c r="E854" s="995"/>
      <c r="R854" s="996"/>
      <c r="S854" s="996"/>
      <c r="T854" s="996"/>
      <c r="U854" s="996"/>
      <c r="V854" s="996"/>
      <c r="W854" s="996"/>
      <c r="X854" s="996"/>
      <c r="Y854" s="996"/>
    </row>
    <row r="855" spans="1:25" x14ac:dyDescent="0.2">
      <c r="A855" s="995"/>
      <c r="B855" s="995"/>
      <c r="C855" s="995"/>
      <c r="D855" s="995"/>
      <c r="E855" s="995"/>
      <c r="R855" s="996"/>
      <c r="S855" s="996"/>
      <c r="T855" s="996"/>
      <c r="U855" s="996"/>
      <c r="V855" s="996"/>
      <c r="W855" s="996"/>
      <c r="X855" s="996"/>
      <c r="Y855" s="996"/>
    </row>
    <row r="856" spans="1:25" x14ac:dyDescent="0.2">
      <c r="A856" s="995"/>
      <c r="B856" s="995"/>
      <c r="C856" s="995"/>
      <c r="D856" s="995"/>
      <c r="E856" s="995"/>
      <c r="R856" s="996"/>
      <c r="S856" s="996"/>
      <c r="T856" s="996"/>
      <c r="U856" s="996"/>
      <c r="V856" s="996"/>
      <c r="W856" s="996"/>
      <c r="X856" s="996"/>
      <c r="Y856" s="996"/>
    </row>
    <row r="857" spans="1:25" x14ac:dyDescent="0.2">
      <c r="A857" s="995"/>
      <c r="B857" s="995"/>
      <c r="C857" s="995"/>
      <c r="D857" s="995"/>
      <c r="E857" s="995"/>
      <c r="R857" s="996"/>
      <c r="S857" s="996"/>
      <c r="T857" s="996"/>
      <c r="U857" s="996"/>
      <c r="V857" s="996"/>
      <c r="W857" s="996"/>
      <c r="X857" s="996"/>
      <c r="Y857" s="996"/>
    </row>
    <row r="858" spans="1:25" x14ac:dyDescent="0.2">
      <c r="A858" s="995"/>
      <c r="B858" s="995"/>
      <c r="C858" s="995"/>
      <c r="D858" s="995"/>
      <c r="E858" s="995"/>
      <c r="R858" s="996"/>
      <c r="S858" s="996"/>
      <c r="T858" s="996"/>
      <c r="U858" s="996"/>
      <c r="V858" s="996"/>
      <c r="W858" s="996"/>
      <c r="X858" s="996"/>
      <c r="Y858" s="996"/>
    </row>
    <row r="859" spans="1:25" x14ac:dyDescent="0.2">
      <c r="A859" s="995"/>
      <c r="B859" s="995"/>
      <c r="C859" s="995"/>
      <c r="D859" s="995"/>
      <c r="E859" s="995"/>
      <c r="R859" s="996"/>
      <c r="S859" s="996"/>
      <c r="T859" s="996"/>
      <c r="U859" s="996"/>
      <c r="V859" s="996"/>
      <c r="W859" s="996"/>
      <c r="X859" s="996"/>
      <c r="Y859" s="996"/>
    </row>
    <row r="860" spans="1:25" x14ac:dyDescent="0.2">
      <c r="A860" s="995"/>
      <c r="B860" s="995"/>
      <c r="C860" s="995"/>
      <c r="D860" s="995"/>
      <c r="E860" s="995"/>
      <c r="R860" s="996"/>
      <c r="S860" s="996"/>
      <c r="T860" s="996"/>
      <c r="U860" s="996"/>
      <c r="V860" s="996"/>
      <c r="W860" s="996"/>
      <c r="X860" s="996"/>
      <c r="Y860" s="996"/>
    </row>
    <row r="861" spans="1:25" x14ac:dyDescent="0.2">
      <c r="A861" s="995"/>
      <c r="B861" s="995"/>
      <c r="C861" s="995"/>
      <c r="D861" s="995"/>
      <c r="E861" s="995"/>
      <c r="R861" s="996"/>
      <c r="S861" s="996"/>
      <c r="T861" s="996"/>
      <c r="U861" s="996"/>
      <c r="V861" s="996"/>
      <c r="W861" s="996"/>
      <c r="X861" s="996"/>
      <c r="Y861" s="996"/>
    </row>
    <row r="862" spans="1:25" x14ac:dyDescent="0.2">
      <c r="A862" s="995"/>
      <c r="B862" s="995"/>
      <c r="C862" s="995"/>
      <c r="D862" s="995"/>
      <c r="E862" s="995"/>
      <c r="R862" s="996"/>
      <c r="S862" s="996"/>
      <c r="T862" s="996"/>
      <c r="U862" s="996"/>
      <c r="V862" s="996"/>
      <c r="W862" s="996"/>
      <c r="X862" s="996"/>
      <c r="Y862" s="996"/>
    </row>
    <row r="863" spans="1:25" x14ac:dyDescent="0.2">
      <c r="A863" s="995"/>
      <c r="B863" s="995"/>
      <c r="C863" s="995"/>
      <c r="D863" s="995"/>
      <c r="E863" s="995"/>
      <c r="R863" s="996"/>
      <c r="S863" s="996"/>
      <c r="T863" s="996"/>
      <c r="U863" s="996"/>
      <c r="V863" s="996"/>
      <c r="W863" s="996"/>
      <c r="X863" s="996"/>
      <c r="Y863" s="996"/>
    </row>
    <row r="864" spans="1:25" x14ac:dyDescent="0.2">
      <c r="A864" s="995"/>
      <c r="B864" s="995"/>
      <c r="C864" s="995"/>
      <c r="D864" s="995"/>
      <c r="E864" s="995"/>
      <c r="R864" s="996"/>
      <c r="S864" s="996"/>
      <c r="T864" s="996"/>
      <c r="U864" s="996"/>
      <c r="V864" s="996"/>
      <c r="W864" s="996"/>
      <c r="X864" s="996"/>
      <c r="Y864" s="996"/>
    </row>
    <row r="865" spans="1:25" x14ac:dyDescent="0.2">
      <c r="A865" s="995"/>
      <c r="B865" s="995"/>
      <c r="C865" s="995"/>
      <c r="D865" s="995"/>
      <c r="E865" s="995"/>
      <c r="R865" s="996"/>
      <c r="S865" s="996"/>
      <c r="T865" s="996"/>
      <c r="U865" s="996"/>
      <c r="V865" s="996"/>
      <c r="W865" s="996"/>
      <c r="X865" s="996"/>
      <c r="Y865" s="996"/>
    </row>
    <row r="866" spans="1:25" x14ac:dyDescent="0.2">
      <c r="A866" s="995"/>
      <c r="B866" s="995"/>
      <c r="C866" s="995"/>
      <c r="D866" s="995"/>
      <c r="E866" s="995"/>
      <c r="R866" s="996"/>
      <c r="S866" s="996"/>
      <c r="T866" s="996"/>
      <c r="U866" s="996"/>
      <c r="V866" s="996"/>
      <c r="W866" s="996"/>
      <c r="X866" s="996"/>
      <c r="Y866" s="996"/>
    </row>
    <row r="867" spans="1:25" x14ac:dyDescent="0.2">
      <c r="A867" s="995"/>
      <c r="B867" s="995"/>
      <c r="C867" s="995"/>
      <c r="D867" s="995"/>
      <c r="E867" s="995"/>
      <c r="R867" s="996"/>
      <c r="S867" s="996"/>
      <c r="T867" s="996"/>
      <c r="U867" s="996"/>
      <c r="V867" s="996"/>
      <c r="W867" s="996"/>
      <c r="X867" s="996"/>
      <c r="Y867" s="996"/>
    </row>
    <row r="868" spans="1:25" x14ac:dyDescent="0.2">
      <c r="A868" s="995"/>
      <c r="B868" s="995"/>
      <c r="C868" s="995"/>
      <c r="D868" s="995"/>
      <c r="E868" s="995"/>
      <c r="R868" s="996"/>
      <c r="S868" s="996"/>
      <c r="T868" s="996"/>
      <c r="U868" s="996"/>
      <c r="V868" s="996"/>
      <c r="W868" s="996"/>
      <c r="X868" s="996"/>
      <c r="Y868" s="996"/>
    </row>
    <row r="869" spans="1:25" x14ac:dyDescent="0.2">
      <c r="A869" s="995"/>
      <c r="B869" s="995"/>
      <c r="C869" s="995"/>
      <c r="D869" s="995"/>
      <c r="E869" s="995"/>
      <c r="R869" s="996"/>
      <c r="S869" s="996"/>
      <c r="T869" s="996"/>
      <c r="U869" s="996"/>
      <c r="V869" s="996"/>
      <c r="W869" s="996"/>
      <c r="X869" s="996"/>
      <c r="Y869" s="996"/>
    </row>
    <row r="870" spans="1:25" x14ac:dyDescent="0.2">
      <c r="A870" s="995"/>
      <c r="B870" s="995"/>
      <c r="C870" s="995"/>
      <c r="D870" s="995"/>
      <c r="E870" s="995"/>
      <c r="R870" s="996"/>
      <c r="S870" s="996"/>
      <c r="T870" s="996"/>
      <c r="U870" s="996"/>
      <c r="V870" s="996"/>
      <c r="W870" s="996"/>
      <c r="X870" s="996"/>
      <c r="Y870" s="996"/>
    </row>
    <row r="871" spans="1:25" x14ac:dyDescent="0.2">
      <c r="A871" s="995"/>
      <c r="B871" s="995"/>
      <c r="C871" s="995"/>
      <c r="D871" s="995"/>
      <c r="E871" s="995"/>
      <c r="R871" s="996"/>
      <c r="S871" s="996"/>
      <c r="T871" s="996"/>
      <c r="U871" s="996"/>
      <c r="V871" s="996"/>
      <c r="W871" s="996"/>
      <c r="X871" s="996"/>
      <c r="Y871" s="996"/>
    </row>
    <row r="872" spans="1:25" x14ac:dyDescent="0.2">
      <c r="A872" s="995"/>
      <c r="B872" s="995"/>
      <c r="C872" s="995"/>
      <c r="D872" s="995"/>
      <c r="E872" s="995"/>
      <c r="R872" s="996"/>
      <c r="S872" s="996"/>
      <c r="T872" s="996"/>
      <c r="U872" s="996"/>
      <c r="V872" s="996"/>
      <c r="W872" s="996"/>
      <c r="X872" s="996"/>
      <c r="Y872" s="996"/>
    </row>
    <row r="873" spans="1:25" x14ac:dyDescent="0.2">
      <c r="A873" s="995"/>
      <c r="B873" s="995"/>
      <c r="C873" s="995"/>
      <c r="D873" s="995"/>
      <c r="E873" s="995"/>
      <c r="R873" s="996"/>
      <c r="S873" s="996"/>
      <c r="T873" s="996"/>
      <c r="U873" s="996"/>
      <c r="V873" s="996"/>
      <c r="W873" s="996"/>
      <c r="X873" s="996"/>
      <c r="Y873" s="996"/>
    </row>
    <row r="874" spans="1:25" x14ac:dyDescent="0.2">
      <c r="A874" s="995"/>
      <c r="B874" s="995"/>
      <c r="C874" s="995"/>
      <c r="D874" s="995"/>
      <c r="E874" s="995"/>
      <c r="R874" s="996"/>
      <c r="S874" s="996"/>
      <c r="T874" s="996"/>
      <c r="U874" s="996"/>
      <c r="V874" s="996"/>
      <c r="W874" s="996"/>
      <c r="X874" s="996"/>
      <c r="Y874" s="996"/>
    </row>
    <row r="875" spans="1:25" x14ac:dyDescent="0.2">
      <c r="A875" s="995"/>
      <c r="B875" s="995"/>
      <c r="C875" s="995"/>
      <c r="D875" s="995"/>
      <c r="E875" s="995"/>
      <c r="R875" s="996"/>
      <c r="S875" s="996"/>
      <c r="T875" s="996"/>
      <c r="U875" s="996"/>
      <c r="V875" s="996"/>
      <c r="W875" s="996"/>
      <c r="X875" s="996"/>
      <c r="Y875" s="996"/>
    </row>
    <row r="876" spans="1:25" x14ac:dyDescent="0.2">
      <c r="A876" s="995"/>
      <c r="B876" s="995"/>
      <c r="C876" s="995"/>
      <c r="D876" s="995"/>
      <c r="E876" s="995"/>
      <c r="R876" s="996"/>
      <c r="S876" s="996"/>
      <c r="T876" s="996"/>
      <c r="U876" s="996"/>
      <c r="V876" s="996"/>
      <c r="W876" s="996"/>
      <c r="X876" s="996"/>
      <c r="Y876" s="996"/>
    </row>
    <row r="877" spans="1:25" x14ac:dyDescent="0.2">
      <c r="A877" s="995"/>
      <c r="B877" s="995"/>
      <c r="C877" s="995"/>
      <c r="D877" s="995"/>
      <c r="E877" s="995"/>
      <c r="R877" s="996"/>
      <c r="S877" s="996"/>
      <c r="T877" s="996"/>
      <c r="U877" s="996"/>
      <c r="V877" s="996"/>
      <c r="W877" s="996"/>
      <c r="X877" s="996"/>
      <c r="Y877" s="996"/>
    </row>
    <row r="878" spans="1:25" x14ac:dyDescent="0.2">
      <c r="A878" s="995"/>
      <c r="B878" s="995"/>
      <c r="C878" s="995"/>
      <c r="D878" s="995"/>
      <c r="E878" s="995"/>
      <c r="R878" s="996"/>
      <c r="S878" s="996"/>
      <c r="T878" s="996"/>
      <c r="U878" s="996"/>
      <c r="V878" s="996"/>
      <c r="W878" s="996"/>
      <c r="X878" s="996"/>
      <c r="Y878" s="996"/>
    </row>
    <row r="879" spans="1:25" x14ac:dyDescent="0.2">
      <c r="A879" s="995"/>
      <c r="B879" s="995"/>
      <c r="C879" s="995"/>
      <c r="D879" s="995"/>
      <c r="E879" s="995"/>
      <c r="R879" s="996"/>
      <c r="S879" s="996"/>
      <c r="T879" s="996"/>
      <c r="U879" s="996"/>
      <c r="V879" s="996"/>
      <c r="W879" s="996"/>
      <c r="X879" s="996"/>
      <c r="Y879" s="996"/>
    </row>
    <row r="880" spans="1:25" x14ac:dyDescent="0.2">
      <c r="A880" s="995"/>
      <c r="B880" s="995"/>
      <c r="C880" s="995"/>
      <c r="D880" s="995"/>
      <c r="E880" s="995"/>
      <c r="R880" s="996"/>
      <c r="S880" s="996"/>
      <c r="T880" s="996"/>
      <c r="U880" s="996"/>
      <c r="V880" s="996"/>
      <c r="W880" s="996"/>
      <c r="X880" s="996"/>
      <c r="Y880" s="996"/>
    </row>
    <row r="881" spans="1:25" x14ac:dyDescent="0.2">
      <c r="A881" s="995"/>
      <c r="B881" s="995"/>
      <c r="C881" s="995"/>
      <c r="D881" s="995"/>
      <c r="E881" s="995"/>
      <c r="R881" s="996"/>
      <c r="S881" s="996"/>
      <c r="T881" s="996"/>
      <c r="U881" s="996"/>
      <c r="V881" s="996"/>
      <c r="W881" s="996"/>
      <c r="X881" s="996"/>
      <c r="Y881" s="996"/>
    </row>
    <row r="882" spans="1:25" x14ac:dyDescent="0.2">
      <c r="A882" s="995"/>
      <c r="B882" s="995"/>
      <c r="C882" s="995"/>
      <c r="D882" s="995"/>
      <c r="E882" s="995"/>
      <c r="R882" s="996"/>
      <c r="S882" s="996"/>
      <c r="T882" s="996"/>
      <c r="U882" s="996"/>
      <c r="V882" s="996"/>
      <c r="W882" s="996"/>
      <c r="X882" s="996"/>
      <c r="Y882" s="996"/>
    </row>
    <row r="883" spans="1:25" x14ac:dyDescent="0.2">
      <c r="A883" s="995"/>
      <c r="B883" s="995"/>
      <c r="C883" s="995"/>
      <c r="D883" s="995"/>
      <c r="E883" s="995"/>
      <c r="R883" s="996"/>
      <c r="S883" s="996"/>
      <c r="T883" s="996"/>
      <c r="U883" s="996"/>
      <c r="V883" s="996"/>
      <c r="W883" s="996"/>
      <c r="X883" s="996"/>
      <c r="Y883" s="996"/>
    </row>
    <row r="884" spans="1:25" x14ac:dyDescent="0.2">
      <c r="A884" s="995"/>
      <c r="B884" s="995"/>
      <c r="C884" s="995"/>
      <c r="D884" s="995"/>
      <c r="E884" s="995"/>
      <c r="R884" s="996"/>
      <c r="S884" s="996"/>
      <c r="T884" s="996"/>
      <c r="U884" s="996"/>
      <c r="V884" s="996"/>
      <c r="W884" s="996"/>
      <c r="X884" s="996"/>
      <c r="Y884" s="996"/>
    </row>
    <row r="885" spans="1:25" x14ac:dyDescent="0.2">
      <c r="A885" s="995"/>
      <c r="B885" s="995"/>
      <c r="C885" s="995"/>
      <c r="D885" s="995"/>
      <c r="E885" s="995"/>
      <c r="R885" s="996"/>
      <c r="S885" s="996"/>
      <c r="T885" s="996"/>
      <c r="U885" s="996"/>
      <c r="V885" s="996"/>
      <c r="W885" s="996"/>
      <c r="X885" s="996"/>
      <c r="Y885" s="996"/>
    </row>
    <row r="886" spans="1:25" x14ac:dyDescent="0.2">
      <c r="A886" s="995"/>
      <c r="B886" s="995"/>
      <c r="C886" s="995"/>
      <c r="D886" s="995"/>
      <c r="E886" s="995"/>
      <c r="R886" s="996"/>
      <c r="S886" s="996"/>
      <c r="T886" s="996"/>
      <c r="U886" s="996"/>
      <c r="V886" s="996"/>
      <c r="W886" s="996"/>
      <c r="X886" s="996"/>
      <c r="Y886" s="996"/>
    </row>
    <row r="887" spans="1:25" x14ac:dyDescent="0.2">
      <c r="A887" s="995"/>
      <c r="B887" s="995"/>
      <c r="C887" s="995"/>
      <c r="D887" s="995"/>
      <c r="E887" s="995"/>
      <c r="R887" s="996"/>
      <c r="S887" s="996"/>
      <c r="T887" s="996"/>
      <c r="U887" s="996"/>
      <c r="V887" s="996"/>
      <c r="W887" s="996"/>
      <c r="X887" s="996"/>
      <c r="Y887" s="996"/>
    </row>
    <row r="888" spans="1:25" x14ac:dyDescent="0.2">
      <c r="A888" s="995"/>
      <c r="B888" s="995"/>
      <c r="C888" s="995"/>
      <c r="D888" s="995"/>
      <c r="E888" s="995"/>
      <c r="R888" s="996"/>
      <c r="S888" s="996"/>
      <c r="T888" s="996"/>
      <c r="U888" s="996"/>
      <c r="V888" s="996"/>
      <c r="W888" s="996"/>
      <c r="X888" s="996"/>
      <c r="Y888" s="996"/>
    </row>
    <row r="889" spans="1:25" x14ac:dyDescent="0.2">
      <c r="A889" s="995"/>
      <c r="B889" s="995"/>
      <c r="C889" s="995"/>
      <c r="D889" s="995"/>
      <c r="E889" s="995"/>
      <c r="R889" s="996"/>
      <c r="S889" s="996"/>
      <c r="T889" s="996"/>
      <c r="U889" s="996"/>
      <c r="V889" s="996"/>
      <c r="W889" s="996"/>
      <c r="X889" s="996"/>
      <c r="Y889" s="996"/>
    </row>
    <row r="890" spans="1:25" x14ac:dyDescent="0.2">
      <c r="A890" s="995"/>
      <c r="B890" s="995"/>
      <c r="C890" s="995"/>
      <c r="D890" s="995"/>
      <c r="E890" s="995"/>
      <c r="R890" s="996"/>
      <c r="S890" s="996"/>
      <c r="T890" s="996"/>
      <c r="U890" s="996"/>
      <c r="V890" s="996"/>
      <c r="W890" s="996"/>
      <c r="X890" s="996"/>
      <c r="Y890" s="996"/>
    </row>
    <row r="891" spans="1:25" x14ac:dyDescent="0.2">
      <c r="A891" s="995"/>
      <c r="B891" s="995"/>
      <c r="C891" s="995"/>
      <c r="D891" s="995"/>
      <c r="E891" s="995"/>
      <c r="R891" s="996"/>
      <c r="S891" s="996"/>
      <c r="T891" s="996"/>
      <c r="U891" s="996"/>
      <c r="V891" s="996"/>
      <c r="W891" s="996"/>
      <c r="X891" s="996"/>
      <c r="Y891" s="996"/>
    </row>
    <row r="892" spans="1:25" x14ac:dyDescent="0.2">
      <c r="A892" s="995"/>
      <c r="B892" s="995"/>
      <c r="C892" s="995"/>
      <c r="D892" s="995"/>
      <c r="E892" s="995"/>
      <c r="R892" s="996"/>
      <c r="S892" s="996"/>
      <c r="T892" s="996"/>
      <c r="U892" s="996"/>
      <c r="V892" s="996"/>
      <c r="W892" s="996"/>
      <c r="X892" s="996"/>
      <c r="Y892" s="996"/>
    </row>
    <row r="893" spans="1:25" x14ac:dyDescent="0.2">
      <c r="A893" s="995"/>
      <c r="B893" s="995"/>
      <c r="C893" s="995"/>
      <c r="D893" s="995"/>
      <c r="E893" s="995"/>
      <c r="R893" s="996"/>
      <c r="S893" s="996"/>
      <c r="T893" s="996"/>
      <c r="U893" s="996"/>
      <c r="V893" s="996"/>
      <c r="W893" s="996"/>
      <c r="X893" s="996"/>
      <c r="Y893" s="996"/>
    </row>
    <row r="894" spans="1:25" x14ac:dyDescent="0.2">
      <c r="A894" s="995"/>
      <c r="B894" s="995"/>
      <c r="C894" s="995"/>
      <c r="D894" s="995"/>
      <c r="E894" s="995"/>
      <c r="R894" s="996"/>
      <c r="S894" s="996"/>
      <c r="T894" s="996"/>
      <c r="U894" s="996"/>
      <c r="V894" s="996"/>
      <c r="W894" s="996"/>
      <c r="X894" s="996"/>
      <c r="Y894" s="996"/>
    </row>
    <row r="895" spans="1:25" x14ac:dyDescent="0.2">
      <c r="A895" s="995"/>
      <c r="B895" s="995"/>
      <c r="C895" s="995"/>
      <c r="D895" s="995"/>
      <c r="E895" s="995"/>
      <c r="R895" s="996"/>
      <c r="S895" s="996"/>
      <c r="T895" s="996"/>
      <c r="U895" s="996"/>
      <c r="V895" s="996"/>
      <c r="W895" s="996"/>
      <c r="X895" s="996"/>
      <c r="Y895" s="996"/>
    </row>
    <row r="896" spans="1:25" x14ac:dyDescent="0.2">
      <c r="A896" s="995"/>
      <c r="B896" s="995"/>
      <c r="C896" s="995"/>
      <c r="D896" s="995"/>
      <c r="E896" s="995"/>
      <c r="R896" s="996"/>
      <c r="S896" s="996"/>
      <c r="T896" s="996"/>
      <c r="U896" s="996"/>
      <c r="V896" s="996"/>
      <c r="W896" s="996"/>
      <c r="X896" s="996"/>
      <c r="Y896" s="996"/>
    </row>
    <row r="897" spans="1:25" x14ac:dyDescent="0.2">
      <c r="A897" s="995"/>
      <c r="B897" s="995"/>
      <c r="C897" s="995"/>
      <c r="D897" s="995"/>
      <c r="E897" s="995"/>
      <c r="R897" s="996"/>
      <c r="S897" s="996"/>
      <c r="T897" s="996"/>
      <c r="U897" s="996"/>
      <c r="V897" s="996"/>
      <c r="W897" s="996"/>
      <c r="X897" s="996"/>
      <c r="Y897" s="996"/>
    </row>
    <row r="898" spans="1:25" x14ac:dyDescent="0.2">
      <c r="A898" s="995"/>
      <c r="B898" s="995"/>
      <c r="C898" s="995"/>
      <c r="D898" s="995"/>
      <c r="E898" s="995"/>
      <c r="R898" s="996"/>
      <c r="S898" s="996"/>
      <c r="T898" s="996"/>
      <c r="U898" s="996"/>
      <c r="V898" s="996"/>
      <c r="W898" s="996"/>
      <c r="X898" s="996"/>
      <c r="Y898" s="996"/>
    </row>
    <row r="899" spans="1:25" x14ac:dyDescent="0.2">
      <c r="A899" s="995"/>
      <c r="B899" s="995"/>
      <c r="C899" s="995"/>
      <c r="D899" s="995"/>
      <c r="E899" s="995"/>
      <c r="R899" s="996"/>
      <c r="S899" s="996"/>
      <c r="T899" s="996"/>
      <c r="U899" s="996"/>
      <c r="V899" s="996"/>
      <c r="W899" s="996"/>
      <c r="X899" s="996"/>
      <c r="Y899" s="996"/>
    </row>
    <row r="900" spans="1:25" x14ac:dyDescent="0.2">
      <c r="A900" s="995"/>
      <c r="B900" s="995"/>
      <c r="C900" s="995"/>
      <c r="D900" s="995"/>
      <c r="E900" s="995"/>
      <c r="R900" s="996"/>
      <c r="S900" s="996"/>
      <c r="T900" s="996"/>
      <c r="U900" s="996"/>
      <c r="V900" s="996"/>
      <c r="W900" s="996"/>
      <c r="X900" s="996"/>
      <c r="Y900" s="996"/>
    </row>
    <row r="901" spans="1:25" x14ac:dyDescent="0.2">
      <c r="A901" s="995"/>
      <c r="B901" s="995"/>
      <c r="C901" s="995"/>
      <c r="D901" s="995"/>
      <c r="E901" s="995"/>
      <c r="R901" s="996"/>
      <c r="S901" s="996"/>
      <c r="T901" s="996"/>
      <c r="U901" s="996"/>
      <c r="V901" s="996"/>
      <c r="W901" s="996"/>
      <c r="X901" s="996"/>
      <c r="Y901" s="996"/>
    </row>
    <row r="902" spans="1:25" x14ac:dyDescent="0.2">
      <c r="A902" s="995"/>
      <c r="B902" s="995"/>
      <c r="C902" s="995"/>
      <c r="D902" s="995"/>
      <c r="E902" s="995"/>
      <c r="R902" s="996"/>
      <c r="S902" s="996"/>
      <c r="T902" s="996"/>
      <c r="U902" s="996"/>
      <c r="V902" s="996"/>
      <c r="W902" s="996"/>
      <c r="X902" s="996"/>
      <c r="Y902" s="996"/>
    </row>
    <row r="903" spans="1:25" x14ac:dyDescent="0.2">
      <c r="A903" s="995"/>
      <c r="B903" s="995"/>
      <c r="C903" s="995"/>
      <c r="D903" s="995"/>
      <c r="E903" s="995"/>
      <c r="R903" s="996"/>
      <c r="S903" s="996"/>
      <c r="T903" s="996"/>
      <c r="U903" s="996"/>
      <c r="V903" s="996"/>
      <c r="W903" s="996"/>
      <c r="X903" s="996"/>
      <c r="Y903" s="996"/>
    </row>
    <row r="904" spans="1:25" x14ac:dyDescent="0.2">
      <c r="A904" s="995"/>
      <c r="B904" s="995"/>
      <c r="C904" s="995"/>
      <c r="D904" s="995"/>
      <c r="E904" s="995"/>
      <c r="R904" s="996"/>
      <c r="S904" s="996"/>
      <c r="T904" s="996"/>
      <c r="U904" s="996"/>
      <c r="V904" s="996"/>
      <c r="W904" s="996"/>
      <c r="X904" s="996"/>
      <c r="Y904" s="996"/>
    </row>
    <row r="905" spans="1:25" x14ac:dyDescent="0.2">
      <c r="A905" s="995"/>
      <c r="B905" s="995"/>
      <c r="C905" s="995"/>
      <c r="D905" s="995"/>
      <c r="E905" s="995"/>
      <c r="R905" s="996"/>
      <c r="S905" s="996"/>
      <c r="T905" s="996"/>
      <c r="U905" s="996"/>
      <c r="V905" s="996"/>
      <c r="W905" s="996"/>
      <c r="X905" s="996"/>
      <c r="Y905" s="996"/>
    </row>
    <row r="906" spans="1:25" x14ac:dyDescent="0.2">
      <c r="A906" s="995"/>
      <c r="B906" s="995"/>
      <c r="C906" s="995"/>
      <c r="D906" s="995"/>
      <c r="E906" s="995"/>
      <c r="R906" s="996"/>
      <c r="S906" s="996"/>
      <c r="T906" s="996"/>
      <c r="U906" s="996"/>
      <c r="V906" s="996"/>
      <c r="W906" s="996"/>
      <c r="X906" s="996"/>
      <c r="Y906" s="996"/>
    </row>
    <row r="907" spans="1:25" x14ac:dyDescent="0.2">
      <c r="A907" s="995"/>
      <c r="B907" s="995"/>
      <c r="C907" s="995"/>
      <c r="D907" s="995"/>
      <c r="E907" s="995"/>
      <c r="R907" s="996"/>
      <c r="S907" s="996"/>
      <c r="T907" s="996"/>
      <c r="U907" s="996"/>
      <c r="V907" s="996"/>
      <c r="W907" s="996"/>
      <c r="X907" s="996"/>
      <c r="Y907" s="996"/>
    </row>
    <row r="908" spans="1:25" x14ac:dyDescent="0.2">
      <c r="A908" s="995"/>
      <c r="B908" s="995"/>
      <c r="C908" s="995"/>
      <c r="D908" s="995"/>
      <c r="E908" s="995"/>
      <c r="R908" s="996"/>
      <c r="S908" s="996"/>
      <c r="T908" s="996"/>
      <c r="U908" s="996"/>
      <c r="V908" s="996"/>
      <c r="W908" s="996"/>
      <c r="X908" s="996"/>
      <c r="Y908" s="996"/>
    </row>
    <row r="909" spans="1:25" x14ac:dyDescent="0.2">
      <c r="A909" s="995"/>
      <c r="B909" s="995"/>
      <c r="C909" s="995"/>
      <c r="D909" s="995"/>
      <c r="E909" s="995"/>
      <c r="R909" s="996"/>
      <c r="S909" s="996"/>
      <c r="T909" s="996"/>
      <c r="U909" s="996"/>
      <c r="V909" s="996"/>
      <c r="W909" s="996"/>
      <c r="X909" s="996"/>
      <c r="Y909" s="996"/>
    </row>
    <row r="910" spans="1:25" x14ac:dyDescent="0.2">
      <c r="A910" s="995"/>
      <c r="B910" s="995"/>
      <c r="C910" s="995"/>
      <c r="D910" s="995"/>
      <c r="E910" s="995"/>
      <c r="R910" s="996"/>
      <c r="S910" s="996"/>
      <c r="T910" s="996"/>
      <c r="U910" s="996"/>
      <c r="V910" s="996"/>
      <c r="W910" s="996"/>
      <c r="X910" s="996"/>
      <c r="Y910" s="996"/>
    </row>
    <row r="911" spans="1:25" x14ac:dyDescent="0.2">
      <c r="A911" s="995"/>
      <c r="B911" s="995"/>
      <c r="C911" s="995"/>
      <c r="D911" s="995"/>
      <c r="E911" s="995"/>
      <c r="R911" s="996"/>
      <c r="S911" s="996"/>
      <c r="T911" s="996"/>
      <c r="U911" s="996"/>
      <c r="V911" s="996"/>
      <c r="W911" s="996"/>
      <c r="X911" s="996"/>
      <c r="Y911" s="996"/>
    </row>
    <row r="912" spans="1:25" x14ac:dyDescent="0.2">
      <c r="A912" s="995"/>
      <c r="B912" s="995"/>
      <c r="C912" s="995"/>
      <c r="D912" s="995"/>
      <c r="E912" s="995"/>
      <c r="R912" s="996"/>
      <c r="S912" s="996"/>
      <c r="T912" s="996"/>
      <c r="U912" s="996"/>
      <c r="V912" s="996"/>
      <c r="W912" s="996"/>
      <c r="X912" s="996"/>
      <c r="Y912" s="996"/>
    </row>
    <row r="913" spans="1:25" x14ac:dyDescent="0.2">
      <c r="A913" s="995"/>
      <c r="B913" s="995"/>
      <c r="C913" s="995"/>
      <c r="D913" s="995"/>
      <c r="E913" s="995"/>
      <c r="R913" s="996"/>
      <c r="S913" s="996"/>
      <c r="T913" s="996"/>
      <c r="U913" s="996"/>
      <c r="V913" s="996"/>
      <c r="W913" s="996"/>
      <c r="X913" s="996"/>
      <c r="Y913" s="996"/>
    </row>
    <row r="914" spans="1:25" x14ac:dyDescent="0.2">
      <c r="A914" s="995"/>
      <c r="B914" s="995"/>
      <c r="C914" s="995"/>
      <c r="D914" s="995"/>
      <c r="E914" s="995"/>
      <c r="R914" s="996"/>
      <c r="S914" s="996"/>
      <c r="T914" s="996"/>
      <c r="U914" s="996"/>
      <c r="V914" s="996"/>
      <c r="W914" s="996"/>
      <c r="X914" s="996"/>
      <c r="Y914" s="996"/>
    </row>
    <row r="915" spans="1:25" x14ac:dyDescent="0.2">
      <c r="A915" s="995"/>
      <c r="B915" s="995"/>
      <c r="C915" s="995"/>
      <c r="D915" s="995"/>
      <c r="E915" s="995"/>
      <c r="R915" s="996"/>
      <c r="S915" s="996"/>
      <c r="T915" s="996"/>
      <c r="U915" s="996"/>
      <c r="V915" s="996"/>
      <c r="W915" s="996"/>
      <c r="X915" s="996"/>
      <c r="Y915" s="996"/>
    </row>
    <row r="916" spans="1:25" x14ac:dyDescent="0.2">
      <c r="A916" s="995"/>
      <c r="B916" s="995"/>
      <c r="C916" s="995"/>
      <c r="D916" s="995"/>
      <c r="E916" s="995"/>
      <c r="R916" s="996"/>
      <c r="S916" s="996"/>
      <c r="T916" s="996"/>
      <c r="U916" s="996"/>
      <c r="V916" s="996"/>
      <c r="W916" s="996"/>
      <c r="X916" s="996"/>
      <c r="Y916" s="996"/>
    </row>
    <row r="917" spans="1:25" x14ac:dyDescent="0.2">
      <c r="A917" s="995"/>
      <c r="B917" s="995"/>
      <c r="C917" s="995"/>
      <c r="D917" s="995"/>
      <c r="E917" s="995"/>
      <c r="R917" s="996"/>
      <c r="S917" s="996"/>
      <c r="T917" s="996"/>
      <c r="U917" s="996"/>
      <c r="V917" s="996"/>
      <c r="W917" s="996"/>
      <c r="X917" s="996"/>
      <c r="Y917" s="996"/>
    </row>
    <row r="918" spans="1:25" x14ac:dyDescent="0.2">
      <c r="A918" s="995"/>
      <c r="B918" s="995"/>
      <c r="C918" s="995"/>
      <c r="D918" s="995"/>
      <c r="E918" s="995"/>
      <c r="R918" s="996"/>
      <c r="S918" s="996"/>
      <c r="T918" s="996"/>
      <c r="U918" s="996"/>
      <c r="V918" s="996"/>
      <c r="W918" s="996"/>
      <c r="X918" s="996"/>
      <c r="Y918" s="996"/>
    </row>
    <row r="919" spans="1:25" x14ac:dyDescent="0.2">
      <c r="A919" s="995"/>
      <c r="B919" s="995"/>
      <c r="C919" s="995"/>
      <c r="D919" s="995"/>
      <c r="E919" s="995"/>
      <c r="R919" s="996"/>
      <c r="S919" s="996"/>
      <c r="T919" s="996"/>
      <c r="U919" s="996"/>
      <c r="V919" s="996"/>
      <c r="W919" s="996"/>
      <c r="X919" s="996"/>
      <c r="Y919" s="996"/>
    </row>
    <row r="920" spans="1:25" x14ac:dyDescent="0.2">
      <c r="A920" s="995"/>
      <c r="B920" s="995"/>
      <c r="C920" s="995"/>
      <c r="D920" s="995"/>
      <c r="E920" s="995"/>
      <c r="R920" s="996"/>
      <c r="S920" s="996"/>
      <c r="T920" s="996"/>
      <c r="U920" s="996"/>
      <c r="V920" s="996"/>
      <c r="W920" s="996"/>
      <c r="X920" s="996"/>
      <c r="Y920" s="996"/>
    </row>
    <row r="921" spans="1:25" x14ac:dyDescent="0.2">
      <c r="A921" s="995"/>
      <c r="B921" s="995"/>
      <c r="C921" s="995"/>
      <c r="D921" s="995"/>
      <c r="E921" s="995"/>
      <c r="R921" s="996"/>
      <c r="S921" s="996"/>
      <c r="T921" s="996"/>
      <c r="U921" s="996"/>
      <c r="V921" s="996"/>
      <c r="W921" s="996"/>
      <c r="X921" s="996"/>
      <c r="Y921" s="996"/>
    </row>
    <row r="922" spans="1:25" x14ac:dyDescent="0.2">
      <c r="A922" s="995"/>
      <c r="B922" s="995"/>
      <c r="C922" s="995"/>
      <c r="D922" s="995"/>
      <c r="E922" s="995"/>
      <c r="R922" s="996"/>
      <c r="S922" s="996"/>
      <c r="T922" s="996"/>
      <c r="U922" s="996"/>
      <c r="V922" s="996"/>
      <c r="W922" s="996"/>
      <c r="X922" s="996"/>
      <c r="Y922" s="996"/>
    </row>
    <row r="923" spans="1:25" x14ac:dyDescent="0.2">
      <c r="A923" s="995"/>
      <c r="B923" s="995"/>
      <c r="C923" s="995"/>
      <c r="D923" s="995"/>
      <c r="E923" s="995"/>
      <c r="R923" s="996"/>
      <c r="S923" s="996"/>
      <c r="T923" s="996"/>
      <c r="U923" s="996"/>
      <c r="V923" s="996"/>
      <c r="W923" s="996"/>
      <c r="X923" s="996"/>
      <c r="Y923" s="996"/>
    </row>
    <row r="924" spans="1:25" x14ac:dyDescent="0.2">
      <c r="A924" s="995"/>
      <c r="B924" s="995"/>
      <c r="C924" s="995"/>
      <c r="D924" s="995"/>
      <c r="E924" s="995"/>
      <c r="R924" s="996"/>
      <c r="S924" s="996"/>
      <c r="T924" s="996"/>
      <c r="U924" s="996"/>
      <c r="V924" s="996"/>
      <c r="W924" s="996"/>
      <c r="X924" s="996"/>
      <c r="Y924" s="996"/>
    </row>
    <row r="925" spans="1:25" x14ac:dyDescent="0.2">
      <c r="A925" s="995"/>
      <c r="B925" s="995"/>
      <c r="C925" s="995"/>
      <c r="D925" s="995"/>
      <c r="E925" s="995"/>
      <c r="R925" s="996"/>
      <c r="S925" s="996"/>
      <c r="T925" s="996"/>
      <c r="U925" s="996"/>
      <c r="V925" s="996"/>
      <c r="W925" s="996"/>
      <c r="X925" s="996"/>
      <c r="Y925" s="996"/>
    </row>
    <row r="926" spans="1:25" x14ac:dyDescent="0.2">
      <c r="A926" s="995"/>
      <c r="B926" s="995"/>
      <c r="C926" s="995"/>
      <c r="D926" s="995"/>
      <c r="E926" s="995"/>
      <c r="R926" s="996"/>
      <c r="S926" s="996"/>
      <c r="T926" s="996"/>
      <c r="U926" s="996"/>
      <c r="V926" s="996"/>
      <c r="W926" s="996"/>
      <c r="X926" s="996"/>
      <c r="Y926" s="996"/>
    </row>
    <row r="927" spans="1:25" x14ac:dyDescent="0.2">
      <c r="A927" s="995"/>
      <c r="B927" s="995"/>
      <c r="C927" s="995"/>
      <c r="D927" s="995"/>
      <c r="E927" s="995"/>
      <c r="R927" s="996"/>
      <c r="S927" s="996"/>
      <c r="T927" s="996"/>
      <c r="U927" s="996"/>
      <c r="V927" s="996"/>
      <c r="W927" s="996"/>
      <c r="X927" s="996"/>
      <c r="Y927" s="996"/>
    </row>
    <row r="928" spans="1:25" x14ac:dyDescent="0.2">
      <c r="A928" s="995"/>
      <c r="B928" s="995"/>
      <c r="C928" s="995"/>
      <c r="D928" s="995"/>
      <c r="E928" s="995"/>
      <c r="R928" s="996"/>
      <c r="S928" s="996"/>
      <c r="T928" s="996"/>
      <c r="U928" s="996"/>
      <c r="V928" s="996"/>
      <c r="W928" s="996"/>
      <c r="X928" s="996"/>
      <c r="Y928" s="996"/>
    </row>
    <row r="929" spans="1:25" x14ac:dyDescent="0.2">
      <c r="A929" s="995"/>
      <c r="B929" s="995"/>
      <c r="C929" s="995"/>
      <c r="D929" s="995"/>
      <c r="E929" s="995"/>
      <c r="R929" s="996"/>
      <c r="S929" s="996"/>
      <c r="T929" s="996"/>
      <c r="U929" s="996"/>
      <c r="V929" s="996"/>
      <c r="W929" s="996"/>
      <c r="X929" s="996"/>
      <c r="Y929" s="996"/>
    </row>
    <row r="930" spans="1:25" x14ac:dyDescent="0.2">
      <c r="A930" s="995"/>
      <c r="B930" s="995"/>
      <c r="C930" s="995"/>
      <c r="D930" s="995"/>
      <c r="E930" s="995"/>
      <c r="R930" s="996"/>
      <c r="S930" s="996"/>
      <c r="T930" s="996"/>
      <c r="U930" s="996"/>
      <c r="V930" s="996"/>
      <c r="W930" s="996"/>
      <c r="X930" s="996"/>
      <c r="Y930" s="996"/>
    </row>
    <row r="931" spans="1:25" x14ac:dyDescent="0.2">
      <c r="A931" s="995"/>
      <c r="B931" s="995"/>
      <c r="C931" s="995"/>
      <c r="D931" s="995"/>
      <c r="E931" s="995"/>
      <c r="R931" s="996"/>
      <c r="S931" s="996"/>
      <c r="T931" s="996"/>
      <c r="U931" s="996"/>
      <c r="V931" s="996"/>
      <c r="W931" s="996"/>
      <c r="X931" s="996"/>
      <c r="Y931" s="996"/>
    </row>
    <row r="932" spans="1:25" x14ac:dyDescent="0.2">
      <c r="A932" s="995"/>
      <c r="B932" s="995"/>
      <c r="C932" s="995"/>
      <c r="D932" s="995"/>
      <c r="E932" s="995"/>
      <c r="R932" s="996"/>
      <c r="S932" s="996"/>
      <c r="T932" s="996"/>
      <c r="U932" s="996"/>
      <c r="V932" s="996"/>
      <c r="W932" s="996"/>
      <c r="X932" s="996"/>
      <c r="Y932" s="996"/>
    </row>
    <row r="933" spans="1:25" x14ac:dyDescent="0.2">
      <c r="A933" s="995"/>
      <c r="B933" s="995"/>
      <c r="C933" s="995"/>
      <c r="D933" s="995"/>
      <c r="E933" s="995"/>
      <c r="R933" s="996"/>
      <c r="S933" s="996"/>
      <c r="T933" s="996"/>
      <c r="U933" s="996"/>
      <c r="V933" s="996"/>
      <c r="W933" s="996"/>
      <c r="X933" s="996"/>
      <c r="Y933" s="996"/>
    </row>
    <row r="934" spans="1:25" x14ac:dyDescent="0.2">
      <c r="A934" s="995"/>
      <c r="B934" s="995"/>
      <c r="C934" s="995"/>
      <c r="D934" s="995"/>
      <c r="E934" s="995"/>
      <c r="R934" s="996"/>
      <c r="S934" s="996"/>
      <c r="T934" s="996"/>
      <c r="U934" s="996"/>
      <c r="V934" s="996"/>
      <c r="W934" s="996"/>
      <c r="X934" s="996"/>
      <c r="Y934" s="996"/>
    </row>
    <row r="935" spans="1:25" x14ac:dyDescent="0.2">
      <c r="A935" s="995"/>
      <c r="B935" s="995"/>
      <c r="C935" s="995"/>
      <c r="D935" s="995"/>
      <c r="E935" s="995"/>
      <c r="R935" s="996"/>
      <c r="S935" s="996"/>
      <c r="T935" s="996"/>
      <c r="U935" s="996"/>
      <c r="V935" s="996"/>
      <c r="W935" s="996"/>
      <c r="X935" s="996"/>
      <c r="Y935" s="996"/>
    </row>
    <row r="936" spans="1:25" x14ac:dyDescent="0.2">
      <c r="A936" s="995"/>
      <c r="B936" s="995"/>
      <c r="C936" s="995"/>
      <c r="D936" s="995"/>
      <c r="E936" s="995"/>
      <c r="R936" s="996"/>
      <c r="S936" s="996"/>
      <c r="T936" s="996"/>
      <c r="U936" s="996"/>
      <c r="V936" s="996"/>
      <c r="W936" s="996"/>
      <c r="X936" s="996"/>
      <c r="Y936" s="996"/>
    </row>
    <row r="937" spans="1:25" x14ac:dyDescent="0.2">
      <c r="A937" s="995"/>
      <c r="B937" s="995"/>
      <c r="C937" s="995"/>
      <c r="D937" s="995"/>
      <c r="E937" s="995"/>
      <c r="R937" s="996"/>
      <c r="S937" s="996"/>
      <c r="T937" s="996"/>
      <c r="U937" s="996"/>
      <c r="V937" s="996"/>
      <c r="W937" s="996"/>
      <c r="X937" s="996"/>
      <c r="Y937" s="996"/>
    </row>
    <row r="938" spans="1:25" x14ac:dyDescent="0.2">
      <c r="A938" s="995"/>
      <c r="B938" s="995"/>
      <c r="C938" s="995"/>
      <c r="D938" s="995"/>
      <c r="E938" s="995"/>
      <c r="R938" s="996"/>
      <c r="S938" s="996"/>
      <c r="T938" s="996"/>
      <c r="U938" s="996"/>
      <c r="V938" s="996"/>
      <c r="W938" s="996"/>
      <c r="X938" s="996"/>
      <c r="Y938" s="996"/>
    </row>
    <row r="939" spans="1:25" x14ac:dyDescent="0.2">
      <c r="A939" s="995"/>
      <c r="B939" s="995"/>
      <c r="C939" s="995"/>
      <c r="D939" s="995"/>
      <c r="E939" s="995"/>
      <c r="R939" s="996"/>
      <c r="S939" s="996"/>
      <c r="T939" s="996"/>
      <c r="U939" s="996"/>
      <c r="V939" s="996"/>
      <c r="W939" s="996"/>
      <c r="X939" s="996"/>
      <c r="Y939" s="996"/>
    </row>
    <row r="940" spans="1:25" x14ac:dyDescent="0.2">
      <c r="A940" s="995"/>
      <c r="B940" s="995"/>
      <c r="C940" s="995"/>
      <c r="D940" s="995"/>
      <c r="E940" s="995"/>
      <c r="R940" s="996"/>
      <c r="S940" s="996"/>
      <c r="T940" s="996"/>
      <c r="U940" s="996"/>
      <c r="V940" s="996"/>
      <c r="W940" s="996"/>
      <c r="X940" s="996"/>
      <c r="Y940" s="996"/>
    </row>
    <row r="941" spans="1:25" x14ac:dyDescent="0.2">
      <c r="A941" s="995"/>
      <c r="B941" s="995"/>
      <c r="C941" s="995"/>
      <c r="D941" s="995"/>
      <c r="E941" s="995"/>
      <c r="R941" s="996"/>
      <c r="S941" s="996"/>
      <c r="T941" s="996"/>
      <c r="U941" s="996"/>
      <c r="V941" s="996"/>
      <c r="W941" s="996"/>
      <c r="X941" s="996"/>
      <c r="Y941" s="996"/>
    </row>
    <row r="942" spans="1:25" x14ac:dyDescent="0.2">
      <c r="A942" s="995"/>
      <c r="B942" s="995"/>
      <c r="C942" s="995"/>
      <c r="D942" s="995"/>
      <c r="E942" s="995"/>
      <c r="R942" s="996"/>
      <c r="S942" s="996"/>
      <c r="T942" s="996"/>
      <c r="U942" s="996"/>
      <c r="V942" s="996"/>
      <c r="W942" s="996"/>
      <c r="X942" s="996"/>
      <c r="Y942" s="996"/>
    </row>
    <row r="943" spans="1:25" x14ac:dyDescent="0.2">
      <c r="A943" s="995"/>
      <c r="B943" s="995"/>
      <c r="C943" s="995"/>
      <c r="D943" s="995"/>
      <c r="E943" s="995"/>
      <c r="R943" s="996"/>
      <c r="S943" s="996"/>
      <c r="T943" s="996"/>
      <c r="U943" s="996"/>
      <c r="V943" s="996"/>
      <c r="W943" s="996"/>
      <c r="X943" s="996"/>
      <c r="Y943" s="996"/>
    </row>
    <row r="944" spans="1:25" x14ac:dyDescent="0.2">
      <c r="A944" s="995"/>
      <c r="B944" s="995"/>
      <c r="C944" s="995"/>
      <c r="D944" s="995"/>
      <c r="E944" s="995"/>
      <c r="R944" s="996"/>
      <c r="S944" s="996"/>
      <c r="T944" s="996"/>
      <c r="U944" s="996"/>
      <c r="V944" s="996"/>
      <c r="W944" s="996"/>
      <c r="X944" s="996"/>
      <c r="Y944" s="996"/>
    </row>
    <row r="945" spans="1:25" x14ac:dyDescent="0.2">
      <c r="A945" s="995"/>
      <c r="B945" s="995"/>
      <c r="C945" s="995"/>
      <c r="D945" s="995"/>
      <c r="E945" s="995"/>
      <c r="R945" s="996"/>
      <c r="S945" s="996"/>
      <c r="T945" s="996"/>
      <c r="U945" s="996"/>
      <c r="V945" s="996"/>
      <c r="W945" s="996"/>
      <c r="X945" s="996"/>
      <c r="Y945" s="996"/>
    </row>
    <row r="946" spans="1:25" x14ac:dyDescent="0.2">
      <c r="A946" s="995"/>
      <c r="B946" s="995"/>
      <c r="C946" s="995"/>
      <c r="D946" s="995"/>
      <c r="E946" s="995"/>
      <c r="R946" s="996"/>
      <c r="S946" s="996"/>
      <c r="T946" s="996"/>
      <c r="U946" s="996"/>
      <c r="V946" s="996"/>
      <c r="W946" s="996"/>
      <c r="X946" s="996"/>
      <c r="Y946" s="996"/>
    </row>
    <row r="947" spans="1:25" x14ac:dyDescent="0.2">
      <c r="A947" s="995"/>
      <c r="B947" s="995"/>
      <c r="C947" s="995"/>
      <c r="D947" s="995"/>
      <c r="E947" s="995"/>
      <c r="R947" s="996"/>
      <c r="S947" s="996"/>
      <c r="T947" s="996"/>
      <c r="U947" s="996"/>
      <c r="V947" s="996"/>
      <c r="W947" s="996"/>
      <c r="X947" s="996"/>
      <c r="Y947" s="996"/>
    </row>
    <row r="948" spans="1:25" x14ac:dyDescent="0.2">
      <c r="A948" s="995"/>
      <c r="B948" s="995"/>
      <c r="C948" s="995"/>
      <c r="D948" s="995"/>
      <c r="E948" s="995"/>
      <c r="R948" s="996"/>
      <c r="S948" s="996"/>
      <c r="T948" s="996"/>
      <c r="U948" s="996"/>
      <c r="V948" s="996"/>
      <c r="W948" s="996"/>
      <c r="X948" s="996"/>
      <c r="Y948" s="996"/>
    </row>
    <row r="949" spans="1:25" x14ac:dyDescent="0.2">
      <c r="A949" s="995"/>
      <c r="B949" s="995"/>
      <c r="C949" s="995"/>
      <c r="D949" s="995"/>
      <c r="E949" s="995"/>
      <c r="R949" s="996"/>
      <c r="S949" s="996"/>
      <c r="T949" s="996"/>
      <c r="U949" s="996"/>
      <c r="V949" s="996"/>
      <c r="W949" s="996"/>
      <c r="X949" s="996"/>
      <c r="Y949" s="996"/>
    </row>
    <row r="950" spans="1:25" x14ac:dyDescent="0.2">
      <c r="A950" s="995"/>
      <c r="B950" s="995"/>
      <c r="C950" s="995"/>
      <c r="D950" s="995"/>
      <c r="E950" s="995"/>
      <c r="R950" s="996"/>
      <c r="S950" s="996"/>
      <c r="T950" s="996"/>
      <c r="U950" s="996"/>
      <c r="V950" s="996"/>
      <c r="W950" s="996"/>
      <c r="X950" s="996"/>
      <c r="Y950" s="996"/>
    </row>
    <row r="951" spans="1:25" x14ac:dyDescent="0.2">
      <c r="A951" s="995"/>
      <c r="B951" s="995"/>
      <c r="C951" s="995"/>
      <c r="D951" s="995"/>
      <c r="E951" s="995"/>
      <c r="R951" s="996"/>
      <c r="S951" s="996"/>
      <c r="T951" s="996"/>
      <c r="U951" s="996"/>
      <c r="V951" s="996"/>
      <c r="W951" s="996"/>
      <c r="X951" s="996"/>
      <c r="Y951" s="996"/>
    </row>
    <row r="952" spans="1:25" x14ac:dyDescent="0.2">
      <c r="A952" s="995"/>
      <c r="B952" s="995"/>
      <c r="C952" s="995"/>
      <c r="D952" s="995"/>
      <c r="E952" s="995"/>
      <c r="R952" s="996"/>
      <c r="S952" s="996"/>
      <c r="T952" s="996"/>
      <c r="U952" s="996"/>
      <c r="V952" s="996"/>
      <c r="W952" s="996"/>
      <c r="X952" s="996"/>
      <c r="Y952" s="996"/>
    </row>
    <row r="953" spans="1:25" x14ac:dyDescent="0.2">
      <c r="A953" s="995"/>
      <c r="B953" s="995"/>
      <c r="C953" s="995"/>
      <c r="D953" s="995"/>
      <c r="E953" s="995"/>
      <c r="R953" s="996"/>
      <c r="S953" s="996"/>
      <c r="T953" s="996"/>
      <c r="U953" s="996"/>
      <c r="V953" s="996"/>
      <c r="W953" s="996"/>
      <c r="X953" s="996"/>
      <c r="Y953" s="996"/>
    </row>
    <row r="954" spans="1:25" x14ac:dyDescent="0.2">
      <c r="A954" s="995"/>
      <c r="B954" s="995"/>
      <c r="C954" s="995"/>
      <c r="D954" s="995"/>
      <c r="E954" s="995"/>
      <c r="R954" s="996"/>
      <c r="S954" s="996"/>
      <c r="T954" s="996"/>
      <c r="U954" s="996"/>
      <c r="V954" s="996"/>
      <c r="W954" s="996"/>
      <c r="X954" s="996"/>
      <c r="Y954" s="996"/>
    </row>
    <row r="955" spans="1:25" x14ac:dyDescent="0.2">
      <c r="A955" s="995"/>
      <c r="B955" s="995"/>
      <c r="C955" s="995"/>
      <c r="D955" s="995"/>
      <c r="E955" s="995"/>
      <c r="R955" s="996"/>
      <c r="S955" s="996"/>
      <c r="T955" s="996"/>
      <c r="U955" s="996"/>
      <c r="V955" s="996"/>
      <c r="W955" s="996"/>
      <c r="X955" s="996"/>
      <c r="Y955" s="996"/>
    </row>
    <row r="956" spans="1:25" x14ac:dyDescent="0.2">
      <c r="A956" s="995"/>
      <c r="B956" s="995"/>
      <c r="C956" s="995"/>
      <c r="D956" s="995"/>
      <c r="E956" s="995"/>
      <c r="R956" s="996"/>
      <c r="S956" s="996"/>
      <c r="T956" s="996"/>
      <c r="U956" s="996"/>
      <c r="V956" s="996"/>
      <c r="W956" s="996"/>
      <c r="X956" s="996"/>
      <c r="Y956" s="996"/>
    </row>
    <row r="957" spans="1:25" x14ac:dyDescent="0.2">
      <c r="A957" s="995"/>
      <c r="B957" s="995"/>
      <c r="C957" s="995"/>
      <c r="D957" s="995"/>
      <c r="E957" s="995"/>
      <c r="R957" s="996"/>
      <c r="S957" s="996"/>
      <c r="T957" s="996"/>
      <c r="U957" s="996"/>
      <c r="V957" s="996"/>
      <c r="W957" s="996"/>
      <c r="X957" s="996"/>
      <c r="Y957" s="996"/>
    </row>
    <row r="958" spans="1:25" x14ac:dyDescent="0.2">
      <c r="A958" s="995"/>
      <c r="B958" s="995"/>
      <c r="C958" s="995"/>
      <c r="D958" s="995"/>
      <c r="E958" s="995"/>
      <c r="R958" s="996"/>
      <c r="S958" s="996"/>
      <c r="T958" s="996"/>
      <c r="U958" s="996"/>
      <c r="V958" s="996"/>
      <c r="W958" s="996"/>
      <c r="X958" s="996"/>
      <c r="Y958" s="996"/>
    </row>
    <row r="959" spans="1:25" x14ac:dyDescent="0.2">
      <c r="A959" s="995"/>
      <c r="B959" s="995"/>
      <c r="C959" s="995"/>
      <c r="D959" s="995"/>
      <c r="E959" s="995"/>
      <c r="R959" s="996"/>
      <c r="S959" s="996"/>
      <c r="T959" s="996"/>
      <c r="U959" s="996"/>
      <c r="V959" s="996"/>
      <c r="W959" s="996"/>
      <c r="X959" s="996"/>
      <c r="Y959" s="996"/>
    </row>
    <row r="960" spans="1:25" x14ac:dyDescent="0.2">
      <c r="A960" s="995"/>
      <c r="B960" s="995"/>
      <c r="C960" s="995"/>
      <c r="D960" s="995"/>
      <c r="E960" s="995"/>
      <c r="R960" s="996"/>
      <c r="S960" s="996"/>
      <c r="T960" s="996"/>
      <c r="U960" s="996"/>
      <c r="V960" s="996"/>
      <c r="W960" s="996"/>
      <c r="X960" s="996"/>
      <c r="Y960" s="996"/>
    </row>
    <row r="961" spans="1:25" x14ac:dyDescent="0.2">
      <c r="A961" s="995"/>
      <c r="B961" s="995"/>
      <c r="C961" s="995"/>
      <c r="D961" s="995"/>
      <c r="E961" s="995"/>
      <c r="R961" s="996"/>
      <c r="S961" s="996"/>
      <c r="T961" s="996"/>
      <c r="U961" s="996"/>
      <c r="V961" s="996"/>
      <c r="W961" s="996"/>
      <c r="X961" s="996"/>
      <c r="Y961" s="996"/>
    </row>
    <row r="962" spans="1:25" x14ac:dyDescent="0.2">
      <c r="A962" s="995"/>
      <c r="B962" s="995"/>
      <c r="C962" s="995"/>
      <c r="D962" s="995"/>
      <c r="E962" s="995"/>
      <c r="R962" s="996"/>
      <c r="S962" s="996"/>
      <c r="T962" s="996"/>
      <c r="U962" s="996"/>
      <c r="V962" s="996"/>
      <c r="W962" s="996"/>
      <c r="X962" s="996"/>
      <c r="Y962" s="996"/>
    </row>
    <row r="963" spans="1:25" x14ac:dyDescent="0.2">
      <c r="A963" s="995"/>
      <c r="B963" s="995"/>
      <c r="C963" s="995"/>
      <c r="D963" s="995"/>
      <c r="E963" s="995"/>
      <c r="R963" s="996"/>
      <c r="S963" s="996"/>
      <c r="T963" s="996"/>
      <c r="U963" s="996"/>
      <c r="V963" s="996"/>
      <c r="W963" s="996"/>
      <c r="X963" s="996"/>
      <c r="Y963" s="996"/>
    </row>
    <row r="964" spans="1:25" x14ac:dyDescent="0.2">
      <c r="A964" s="995"/>
      <c r="B964" s="995"/>
      <c r="C964" s="995"/>
      <c r="D964" s="995"/>
      <c r="E964" s="995"/>
      <c r="R964" s="996"/>
      <c r="S964" s="996"/>
      <c r="T964" s="996"/>
      <c r="U964" s="996"/>
      <c r="V964" s="996"/>
      <c r="W964" s="996"/>
      <c r="X964" s="996"/>
      <c r="Y964" s="996"/>
    </row>
    <row r="965" spans="1:25" x14ac:dyDescent="0.2">
      <c r="A965" s="995"/>
      <c r="B965" s="995"/>
      <c r="C965" s="995"/>
      <c r="D965" s="995"/>
      <c r="E965" s="995"/>
      <c r="R965" s="996"/>
      <c r="S965" s="996"/>
      <c r="T965" s="996"/>
      <c r="U965" s="996"/>
      <c r="V965" s="996"/>
      <c r="W965" s="996"/>
      <c r="X965" s="996"/>
      <c r="Y965" s="996"/>
    </row>
    <row r="966" spans="1:25" x14ac:dyDescent="0.2">
      <c r="A966" s="995"/>
      <c r="B966" s="995"/>
      <c r="C966" s="995"/>
      <c r="D966" s="995"/>
      <c r="E966" s="995"/>
      <c r="R966" s="996"/>
      <c r="S966" s="996"/>
      <c r="T966" s="996"/>
      <c r="U966" s="996"/>
      <c r="V966" s="996"/>
      <c r="W966" s="996"/>
      <c r="X966" s="996"/>
      <c r="Y966" s="996"/>
    </row>
    <row r="967" spans="1:25" x14ac:dyDescent="0.2">
      <c r="A967" s="995"/>
      <c r="B967" s="995"/>
      <c r="C967" s="995"/>
      <c r="D967" s="995"/>
      <c r="E967" s="995"/>
      <c r="R967" s="996"/>
      <c r="S967" s="996"/>
      <c r="T967" s="996"/>
      <c r="U967" s="996"/>
      <c r="V967" s="996"/>
      <c r="W967" s="996"/>
      <c r="X967" s="996"/>
      <c r="Y967" s="996"/>
    </row>
    <row r="968" spans="1:25" x14ac:dyDescent="0.2">
      <c r="A968" s="995"/>
      <c r="B968" s="995"/>
      <c r="C968" s="995"/>
      <c r="D968" s="995"/>
      <c r="E968" s="995"/>
      <c r="R968" s="996"/>
      <c r="S968" s="996"/>
      <c r="T968" s="996"/>
      <c r="U968" s="996"/>
      <c r="V968" s="996"/>
      <c r="W968" s="996"/>
      <c r="X968" s="996"/>
      <c r="Y968" s="996"/>
    </row>
    <row r="969" spans="1:25" x14ac:dyDescent="0.2">
      <c r="A969" s="995"/>
      <c r="B969" s="995"/>
      <c r="C969" s="995"/>
      <c r="D969" s="995"/>
      <c r="E969" s="995"/>
      <c r="R969" s="996"/>
      <c r="S969" s="996"/>
      <c r="T969" s="996"/>
      <c r="U969" s="996"/>
      <c r="V969" s="996"/>
      <c r="W969" s="996"/>
      <c r="X969" s="996"/>
      <c r="Y969" s="996"/>
    </row>
    <row r="970" spans="1:25" x14ac:dyDescent="0.2">
      <c r="A970" s="995"/>
      <c r="B970" s="995"/>
      <c r="C970" s="995"/>
      <c r="D970" s="995"/>
      <c r="E970" s="995"/>
      <c r="R970" s="996"/>
      <c r="S970" s="996"/>
      <c r="T970" s="996"/>
      <c r="U970" s="996"/>
      <c r="V970" s="996"/>
      <c r="W970" s="996"/>
      <c r="X970" s="996"/>
      <c r="Y970" s="996"/>
    </row>
    <row r="971" spans="1:25" x14ac:dyDescent="0.2">
      <c r="A971" s="995"/>
      <c r="B971" s="995"/>
      <c r="C971" s="995"/>
      <c r="D971" s="995"/>
      <c r="E971" s="995"/>
      <c r="R971" s="996"/>
      <c r="S971" s="996"/>
      <c r="T971" s="996"/>
      <c r="U971" s="996"/>
      <c r="V971" s="996"/>
      <c r="W971" s="996"/>
      <c r="X971" s="996"/>
      <c r="Y971" s="996"/>
    </row>
    <row r="972" spans="1:25" x14ac:dyDescent="0.2">
      <c r="A972" s="995"/>
      <c r="B972" s="995"/>
      <c r="C972" s="995"/>
      <c r="D972" s="995"/>
      <c r="E972" s="995"/>
      <c r="R972" s="996"/>
      <c r="S972" s="996"/>
      <c r="T972" s="996"/>
      <c r="U972" s="996"/>
      <c r="V972" s="996"/>
      <c r="W972" s="996"/>
      <c r="X972" s="996"/>
      <c r="Y972" s="996"/>
    </row>
    <row r="973" spans="1:25" x14ac:dyDescent="0.2">
      <c r="A973" s="995"/>
      <c r="B973" s="995"/>
      <c r="C973" s="995"/>
      <c r="D973" s="995"/>
      <c r="E973" s="995"/>
      <c r="R973" s="996"/>
      <c r="S973" s="996"/>
      <c r="T973" s="996"/>
      <c r="U973" s="996"/>
      <c r="V973" s="996"/>
      <c r="W973" s="996"/>
      <c r="X973" s="996"/>
      <c r="Y973" s="996"/>
    </row>
    <row r="974" spans="1:25" x14ac:dyDescent="0.2">
      <c r="A974" s="995"/>
      <c r="B974" s="995"/>
      <c r="C974" s="995"/>
      <c r="D974" s="995"/>
      <c r="E974" s="995"/>
      <c r="R974" s="996"/>
      <c r="S974" s="996"/>
      <c r="T974" s="996"/>
      <c r="U974" s="996"/>
      <c r="V974" s="996"/>
      <c r="W974" s="996"/>
      <c r="X974" s="996"/>
      <c r="Y974" s="996"/>
    </row>
    <row r="975" spans="1:25" x14ac:dyDescent="0.2">
      <c r="A975" s="995"/>
      <c r="B975" s="995"/>
      <c r="C975" s="995"/>
      <c r="D975" s="995"/>
      <c r="E975" s="995"/>
      <c r="R975" s="996"/>
      <c r="S975" s="996"/>
      <c r="T975" s="996"/>
      <c r="U975" s="996"/>
      <c r="V975" s="996"/>
      <c r="W975" s="996"/>
      <c r="X975" s="996"/>
      <c r="Y975" s="996"/>
    </row>
    <row r="976" spans="1:25" x14ac:dyDescent="0.2">
      <c r="A976" s="995"/>
      <c r="B976" s="995"/>
      <c r="C976" s="995"/>
      <c r="D976" s="995"/>
      <c r="E976" s="995"/>
      <c r="R976" s="996"/>
      <c r="S976" s="996"/>
      <c r="T976" s="996"/>
      <c r="U976" s="996"/>
      <c r="V976" s="996"/>
      <c r="W976" s="996"/>
      <c r="X976" s="996"/>
      <c r="Y976" s="996"/>
    </row>
    <row r="977" spans="1:25" x14ac:dyDescent="0.2">
      <c r="A977" s="995"/>
      <c r="B977" s="995"/>
      <c r="C977" s="995"/>
      <c r="D977" s="995"/>
      <c r="E977" s="995"/>
      <c r="R977" s="996"/>
      <c r="S977" s="996"/>
      <c r="T977" s="996"/>
      <c r="U977" s="996"/>
      <c r="V977" s="996"/>
      <c r="W977" s="996"/>
      <c r="X977" s="996"/>
      <c r="Y977" s="996"/>
    </row>
    <row r="978" spans="1:25" x14ac:dyDescent="0.2">
      <c r="A978" s="995"/>
      <c r="B978" s="995"/>
      <c r="C978" s="995"/>
      <c r="D978" s="995"/>
      <c r="E978" s="995"/>
      <c r="R978" s="996"/>
      <c r="S978" s="996"/>
      <c r="T978" s="996"/>
      <c r="U978" s="996"/>
      <c r="V978" s="996"/>
      <c r="W978" s="996"/>
      <c r="X978" s="996"/>
      <c r="Y978" s="996"/>
    </row>
    <row r="979" spans="1:25" x14ac:dyDescent="0.2">
      <c r="A979" s="995"/>
      <c r="B979" s="995"/>
      <c r="C979" s="995"/>
      <c r="D979" s="995"/>
      <c r="E979" s="995"/>
      <c r="R979" s="996"/>
      <c r="S979" s="996"/>
      <c r="T979" s="996"/>
      <c r="U979" s="996"/>
      <c r="V979" s="996"/>
      <c r="W979" s="996"/>
      <c r="X979" s="996"/>
      <c r="Y979" s="996"/>
    </row>
    <row r="980" spans="1:25" x14ac:dyDescent="0.2">
      <c r="A980" s="995"/>
      <c r="B980" s="995"/>
      <c r="C980" s="995"/>
      <c r="D980" s="995"/>
      <c r="E980" s="995"/>
      <c r="R980" s="996"/>
      <c r="S980" s="996"/>
      <c r="T980" s="996"/>
      <c r="U980" s="996"/>
      <c r="V980" s="996"/>
      <c r="W980" s="996"/>
      <c r="X980" s="996"/>
      <c r="Y980" s="996"/>
    </row>
    <row r="981" spans="1:25" x14ac:dyDescent="0.2">
      <c r="A981" s="995"/>
      <c r="B981" s="995"/>
      <c r="C981" s="995"/>
      <c r="D981" s="995"/>
      <c r="E981" s="995"/>
      <c r="R981" s="996"/>
      <c r="S981" s="996"/>
      <c r="T981" s="996"/>
      <c r="U981" s="996"/>
      <c r="V981" s="996"/>
      <c r="W981" s="996"/>
      <c r="X981" s="996"/>
      <c r="Y981" s="996"/>
    </row>
    <row r="982" spans="1:25" x14ac:dyDescent="0.2">
      <c r="A982" s="995"/>
      <c r="B982" s="995"/>
      <c r="C982" s="995"/>
      <c r="D982" s="995"/>
      <c r="E982" s="995"/>
      <c r="R982" s="996"/>
      <c r="S982" s="996"/>
      <c r="T982" s="996"/>
      <c r="U982" s="996"/>
      <c r="V982" s="996"/>
      <c r="W982" s="996"/>
      <c r="X982" s="996"/>
      <c r="Y982" s="996"/>
    </row>
    <row r="983" spans="1:25" x14ac:dyDescent="0.2">
      <c r="A983" s="995"/>
      <c r="B983" s="995"/>
      <c r="C983" s="995"/>
      <c r="D983" s="995"/>
      <c r="E983" s="995"/>
      <c r="R983" s="996"/>
      <c r="S983" s="996"/>
      <c r="T983" s="996"/>
      <c r="U983" s="996"/>
      <c r="V983" s="996"/>
      <c r="W983" s="996"/>
      <c r="X983" s="996"/>
      <c r="Y983" s="996"/>
    </row>
    <row r="984" spans="1:25" x14ac:dyDescent="0.2">
      <c r="A984" s="995"/>
      <c r="B984" s="995"/>
      <c r="C984" s="995"/>
      <c r="D984" s="995"/>
      <c r="E984" s="995"/>
      <c r="R984" s="996"/>
      <c r="S984" s="996"/>
      <c r="T984" s="996"/>
      <c r="U984" s="996"/>
      <c r="V984" s="996"/>
      <c r="W984" s="996"/>
      <c r="X984" s="996"/>
      <c r="Y984" s="996"/>
    </row>
    <row r="985" spans="1:25" x14ac:dyDescent="0.2">
      <c r="A985" s="995"/>
      <c r="B985" s="995"/>
      <c r="C985" s="995"/>
      <c r="D985" s="995"/>
      <c r="E985" s="995"/>
      <c r="R985" s="996"/>
      <c r="S985" s="996"/>
      <c r="T985" s="996"/>
      <c r="U985" s="996"/>
      <c r="V985" s="996"/>
      <c r="W985" s="996"/>
      <c r="X985" s="996"/>
      <c r="Y985" s="996"/>
    </row>
    <row r="986" spans="1:25" x14ac:dyDescent="0.2">
      <c r="A986" s="995"/>
      <c r="B986" s="995"/>
      <c r="C986" s="995"/>
      <c r="D986" s="995"/>
      <c r="E986" s="995"/>
      <c r="R986" s="996"/>
      <c r="S986" s="996"/>
      <c r="T986" s="996"/>
      <c r="U986" s="996"/>
      <c r="V986" s="996"/>
      <c r="W986" s="996"/>
      <c r="X986" s="996"/>
      <c r="Y986" s="996"/>
    </row>
    <row r="987" spans="1:25" x14ac:dyDescent="0.2">
      <c r="A987" s="995"/>
      <c r="B987" s="995"/>
      <c r="C987" s="995"/>
      <c r="D987" s="995"/>
      <c r="E987" s="995"/>
      <c r="R987" s="996"/>
      <c r="S987" s="996"/>
      <c r="T987" s="996"/>
      <c r="U987" s="996"/>
      <c r="V987" s="996"/>
      <c r="W987" s="996"/>
      <c r="X987" s="996"/>
      <c r="Y987" s="996"/>
    </row>
    <row r="988" spans="1:25" x14ac:dyDescent="0.2">
      <c r="A988" s="995"/>
      <c r="B988" s="995"/>
      <c r="C988" s="995"/>
      <c r="D988" s="995"/>
      <c r="E988" s="995"/>
      <c r="R988" s="996"/>
      <c r="S988" s="996"/>
      <c r="T988" s="996"/>
      <c r="U988" s="996"/>
      <c r="V988" s="996"/>
      <c r="W988" s="996"/>
      <c r="X988" s="996"/>
      <c r="Y988" s="996"/>
    </row>
    <row r="989" spans="1:25" x14ac:dyDescent="0.2">
      <c r="A989" s="995"/>
      <c r="B989" s="995"/>
      <c r="C989" s="995"/>
      <c r="D989" s="995"/>
      <c r="E989" s="995"/>
      <c r="R989" s="996"/>
      <c r="S989" s="996"/>
      <c r="T989" s="996"/>
      <c r="U989" s="996"/>
      <c r="V989" s="996"/>
      <c r="W989" s="996"/>
      <c r="X989" s="996"/>
      <c r="Y989" s="996"/>
    </row>
    <row r="990" spans="1:25" x14ac:dyDescent="0.2">
      <c r="A990" s="995"/>
      <c r="B990" s="995"/>
      <c r="C990" s="995"/>
      <c r="D990" s="995"/>
      <c r="E990" s="995"/>
      <c r="R990" s="996"/>
      <c r="S990" s="996"/>
      <c r="T990" s="996"/>
      <c r="U990" s="996"/>
      <c r="V990" s="996"/>
      <c r="W990" s="996"/>
      <c r="X990" s="996"/>
      <c r="Y990" s="996"/>
    </row>
    <row r="991" spans="1:25" x14ac:dyDescent="0.2">
      <c r="A991" s="995"/>
      <c r="B991" s="995"/>
      <c r="C991" s="995"/>
      <c r="D991" s="995"/>
      <c r="E991" s="995"/>
      <c r="R991" s="996"/>
      <c r="S991" s="996"/>
      <c r="T991" s="996"/>
      <c r="U991" s="996"/>
      <c r="V991" s="996"/>
      <c r="W991" s="996"/>
      <c r="X991" s="996"/>
      <c r="Y991" s="996"/>
    </row>
    <row r="992" spans="1:25" x14ac:dyDescent="0.2">
      <c r="A992" s="995"/>
      <c r="B992" s="995"/>
      <c r="C992" s="995"/>
      <c r="D992" s="995"/>
      <c r="E992" s="995"/>
      <c r="R992" s="996"/>
      <c r="S992" s="996"/>
      <c r="T992" s="996"/>
      <c r="U992" s="996"/>
      <c r="V992" s="996"/>
      <c r="W992" s="996"/>
      <c r="X992" s="996"/>
      <c r="Y992" s="996"/>
    </row>
    <row r="993" spans="1:25" x14ac:dyDescent="0.2">
      <c r="A993" s="995"/>
      <c r="B993" s="995"/>
      <c r="C993" s="995"/>
      <c r="D993" s="995"/>
      <c r="E993" s="995"/>
      <c r="R993" s="996"/>
      <c r="S993" s="996"/>
      <c r="T993" s="996"/>
      <c r="U993" s="996"/>
      <c r="V993" s="996"/>
      <c r="W993" s="996"/>
      <c r="X993" s="996"/>
      <c r="Y993" s="996"/>
    </row>
    <row r="994" spans="1:25" x14ac:dyDescent="0.2">
      <c r="A994" s="995"/>
      <c r="B994" s="995"/>
      <c r="C994" s="995"/>
      <c r="D994" s="995"/>
      <c r="E994" s="995"/>
      <c r="R994" s="996"/>
      <c r="S994" s="996"/>
      <c r="T994" s="996"/>
      <c r="U994" s="996"/>
      <c r="V994" s="996"/>
      <c r="W994" s="996"/>
      <c r="X994" s="996"/>
      <c r="Y994" s="996"/>
    </row>
    <row r="995" spans="1:25" x14ac:dyDescent="0.2">
      <c r="A995" s="995"/>
      <c r="B995" s="995"/>
      <c r="C995" s="995"/>
      <c r="D995" s="995"/>
      <c r="E995" s="995"/>
      <c r="R995" s="996"/>
      <c r="S995" s="996"/>
      <c r="T995" s="996"/>
      <c r="U995" s="996"/>
      <c r="V995" s="996"/>
      <c r="W995" s="996"/>
      <c r="X995" s="996"/>
      <c r="Y995" s="996"/>
    </row>
    <row r="996" spans="1:25" x14ac:dyDescent="0.2">
      <c r="A996" s="995"/>
      <c r="B996" s="995"/>
      <c r="C996" s="995"/>
      <c r="D996" s="995"/>
      <c r="E996" s="995"/>
      <c r="R996" s="996"/>
      <c r="S996" s="996"/>
      <c r="T996" s="996"/>
      <c r="U996" s="996"/>
      <c r="V996" s="996"/>
      <c r="W996" s="996"/>
      <c r="X996" s="996"/>
      <c r="Y996" s="996"/>
    </row>
    <row r="997" spans="1:25" x14ac:dyDescent="0.2">
      <c r="A997" s="995"/>
      <c r="B997" s="995"/>
      <c r="C997" s="995"/>
      <c r="D997" s="995"/>
      <c r="E997" s="995"/>
      <c r="R997" s="996"/>
      <c r="S997" s="996"/>
      <c r="T997" s="996"/>
      <c r="U997" s="996"/>
      <c r="V997" s="996"/>
      <c r="W997" s="996"/>
      <c r="X997" s="996"/>
      <c r="Y997" s="996"/>
    </row>
    <row r="998" spans="1:25" x14ac:dyDescent="0.2">
      <c r="A998" s="995"/>
      <c r="B998" s="995"/>
      <c r="C998" s="995"/>
      <c r="D998" s="995"/>
      <c r="E998" s="995"/>
      <c r="R998" s="996"/>
      <c r="S998" s="996"/>
      <c r="T998" s="996"/>
      <c r="U998" s="996"/>
      <c r="V998" s="996"/>
      <c r="W998" s="996"/>
      <c r="X998" s="996"/>
      <c r="Y998" s="996"/>
    </row>
    <row r="999" spans="1:25" x14ac:dyDescent="0.2">
      <c r="A999" s="995"/>
      <c r="B999" s="995"/>
      <c r="C999" s="995"/>
      <c r="D999" s="995"/>
      <c r="E999" s="995"/>
      <c r="R999" s="996"/>
      <c r="S999" s="996"/>
      <c r="T999" s="996"/>
      <c r="U999" s="996"/>
      <c r="V999" s="996"/>
      <c r="W999" s="996"/>
      <c r="X999" s="996"/>
      <c r="Y999" s="996"/>
    </row>
    <row r="1000" spans="1:25" x14ac:dyDescent="0.2">
      <c r="A1000" s="995"/>
      <c r="B1000" s="995"/>
      <c r="C1000" s="995"/>
      <c r="D1000" s="995"/>
      <c r="E1000" s="995"/>
      <c r="R1000" s="996"/>
      <c r="S1000" s="996"/>
      <c r="T1000" s="996"/>
      <c r="U1000" s="996"/>
      <c r="V1000" s="996"/>
      <c r="W1000" s="996"/>
      <c r="X1000" s="996"/>
      <c r="Y1000" s="996"/>
    </row>
    <row r="1001" spans="1:25" x14ac:dyDescent="0.2">
      <c r="A1001" s="995"/>
      <c r="B1001" s="995"/>
      <c r="C1001" s="995"/>
      <c r="D1001" s="995"/>
      <c r="E1001" s="995"/>
      <c r="R1001" s="996"/>
      <c r="S1001" s="996"/>
      <c r="T1001" s="996"/>
      <c r="U1001" s="996"/>
      <c r="V1001" s="996"/>
      <c r="W1001" s="996"/>
      <c r="X1001" s="996"/>
      <c r="Y1001" s="996"/>
    </row>
    <row r="1002" spans="1:25" x14ac:dyDescent="0.2">
      <c r="A1002" s="995"/>
      <c r="B1002" s="995"/>
      <c r="C1002" s="995"/>
      <c r="D1002" s="995"/>
      <c r="E1002" s="995"/>
      <c r="R1002" s="996"/>
      <c r="S1002" s="996"/>
      <c r="T1002" s="996"/>
      <c r="U1002" s="996"/>
      <c r="V1002" s="996"/>
      <c r="W1002" s="996"/>
      <c r="X1002" s="996"/>
      <c r="Y1002" s="996"/>
    </row>
    <row r="1003" spans="1:25" x14ac:dyDescent="0.2">
      <c r="A1003" s="995"/>
      <c r="B1003" s="995"/>
      <c r="C1003" s="995"/>
      <c r="D1003" s="995"/>
      <c r="E1003" s="995"/>
      <c r="R1003" s="996"/>
      <c r="S1003" s="996"/>
      <c r="T1003" s="996"/>
      <c r="U1003" s="996"/>
      <c r="V1003" s="996"/>
      <c r="W1003" s="996"/>
      <c r="X1003" s="996"/>
      <c r="Y1003" s="996"/>
    </row>
    <row r="1004" spans="1:25" x14ac:dyDescent="0.2">
      <c r="A1004" s="995"/>
      <c r="B1004" s="995"/>
      <c r="C1004" s="995"/>
      <c r="D1004" s="995"/>
      <c r="E1004" s="995"/>
      <c r="R1004" s="996"/>
      <c r="S1004" s="996"/>
      <c r="T1004" s="996"/>
      <c r="U1004" s="996"/>
      <c r="V1004" s="996"/>
      <c r="W1004" s="996"/>
      <c r="X1004" s="996"/>
      <c r="Y1004" s="996"/>
    </row>
    <row r="1005" spans="1:25" x14ac:dyDescent="0.2">
      <c r="A1005" s="995"/>
      <c r="B1005" s="995"/>
      <c r="C1005" s="995"/>
      <c r="D1005" s="995"/>
      <c r="E1005" s="995"/>
      <c r="R1005" s="996"/>
      <c r="S1005" s="996"/>
      <c r="T1005" s="996"/>
      <c r="U1005" s="996"/>
      <c r="V1005" s="996"/>
      <c r="W1005" s="996"/>
      <c r="X1005" s="996"/>
      <c r="Y1005" s="996"/>
    </row>
    <row r="1006" spans="1:25" x14ac:dyDescent="0.2">
      <c r="A1006" s="995"/>
      <c r="B1006" s="995"/>
      <c r="C1006" s="995"/>
      <c r="D1006" s="995"/>
      <c r="E1006" s="995"/>
      <c r="R1006" s="996"/>
      <c r="S1006" s="996"/>
      <c r="T1006" s="996"/>
      <c r="U1006" s="996"/>
      <c r="V1006" s="996"/>
      <c r="W1006" s="996"/>
      <c r="X1006" s="996"/>
      <c r="Y1006" s="996"/>
    </row>
    <row r="1007" spans="1:25" x14ac:dyDescent="0.2">
      <c r="A1007" s="995"/>
      <c r="B1007" s="995"/>
      <c r="C1007" s="995"/>
      <c r="D1007" s="995"/>
      <c r="E1007" s="995"/>
      <c r="R1007" s="996"/>
      <c r="S1007" s="996"/>
      <c r="T1007" s="996"/>
      <c r="U1007" s="996"/>
      <c r="V1007" s="996"/>
      <c r="W1007" s="996"/>
      <c r="X1007" s="996"/>
      <c r="Y1007" s="996"/>
    </row>
    <row r="1008" spans="1:25" x14ac:dyDescent="0.2">
      <c r="A1008" s="995"/>
      <c r="B1008" s="995"/>
      <c r="C1008" s="995"/>
      <c r="D1008" s="995"/>
      <c r="E1008" s="995"/>
      <c r="R1008" s="996"/>
      <c r="S1008" s="996"/>
      <c r="T1008" s="996"/>
      <c r="U1008" s="996"/>
      <c r="V1008" s="996"/>
      <c r="W1008" s="996"/>
      <c r="X1008" s="996"/>
      <c r="Y1008" s="996"/>
    </row>
    <row r="1009" spans="1:25" x14ac:dyDescent="0.2">
      <c r="A1009" s="995"/>
      <c r="B1009" s="995"/>
      <c r="C1009" s="995"/>
      <c r="D1009" s="995"/>
      <c r="E1009" s="995"/>
      <c r="R1009" s="996"/>
      <c r="S1009" s="996"/>
      <c r="T1009" s="996"/>
      <c r="U1009" s="996"/>
      <c r="V1009" s="996"/>
      <c r="W1009" s="996"/>
      <c r="X1009" s="996"/>
      <c r="Y1009" s="996"/>
    </row>
    <row r="1010" spans="1:25" x14ac:dyDescent="0.2">
      <c r="A1010" s="995"/>
      <c r="B1010" s="995"/>
      <c r="C1010" s="995"/>
      <c r="D1010" s="995"/>
      <c r="E1010" s="995"/>
      <c r="R1010" s="996"/>
      <c r="S1010" s="996"/>
      <c r="T1010" s="996"/>
      <c r="U1010" s="996"/>
      <c r="V1010" s="996"/>
      <c r="W1010" s="996"/>
      <c r="X1010" s="996"/>
      <c r="Y1010" s="996"/>
    </row>
    <row r="1011" spans="1:25" x14ac:dyDescent="0.2">
      <c r="A1011" s="995"/>
      <c r="B1011" s="995"/>
      <c r="C1011" s="995"/>
      <c r="D1011" s="995"/>
      <c r="E1011" s="995"/>
      <c r="R1011" s="996"/>
      <c r="S1011" s="996"/>
      <c r="T1011" s="996"/>
      <c r="U1011" s="996"/>
      <c r="V1011" s="996"/>
      <c r="W1011" s="996"/>
      <c r="X1011" s="996"/>
      <c r="Y1011" s="996"/>
    </row>
    <row r="1012" spans="1:25" x14ac:dyDescent="0.2">
      <c r="A1012" s="995"/>
      <c r="B1012" s="995"/>
      <c r="C1012" s="995"/>
      <c r="D1012" s="995"/>
      <c r="E1012" s="995"/>
      <c r="R1012" s="996"/>
      <c r="S1012" s="996"/>
      <c r="T1012" s="996"/>
      <c r="U1012" s="996"/>
      <c r="V1012" s="996"/>
      <c r="W1012" s="996"/>
      <c r="X1012" s="996"/>
      <c r="Y1012" s="996"/>
    </row>
    <row r="1013" spans="1:25" x14ac:dyDescent="0.2">
      <c r="A1013" s="995"/>
      <c r="B1013" s="995"/>
      <c r="C1013" s="995"/>
      <c r="D1013" s="995"/>
      <c r="E1013" s="995"/>
      <c r="R1013" s="996"/>
      <c r="S1013" s="996"/>
      <c r="T1013" s="996"/>
      <c r="U1013" s="996"/>
      <c r="V1013" s="996"/>
      <c r="W1013" s="996"/>
      <c r="X1013" s="996"/>
      <c r="Y1013" s="996"/>
    </row>
    <row r="1014" spans="1:25" x14ac:dyDescent="0.2">
      <c r="A1014" s="995"/>
      <c r="B1014" s="995"/>
      <c r="C1014" s="995"/>
      <c r="D1014" s="995"/>
      <c r="E1014" s="995"/>
      <c r="R1014" s="996"/>
      <c r="S1014" s="996"/>
      <c r="T1014" s="996"/>
      <c r="U1014" s="996"/>
      <c r="V1014" s="996"/>
      <c r="W1014" s="996"/>
      <c r="X1014" s="996"/>
      <c r="Y1014" s="996"/>
    </row>
    <row r="1015" spans="1:25" x14ac:dyDescent="0.2">
      <c r="A1015" s="995"/>
      <c r="B1015" s="995"/>
      <c r="C1015" s="995"/>
      <c r="D1015" s="995"/>
      <c r="E1015" s="995"/>
      <c r="R1015" s="996"/>
      <c r="S1015" s="996"/>
      <c r="T1015" s="996"/>
      <c r="U1015" s="996"/>
      <c r="V1015" s="996"/>
      <c r="W1015" s="996"/>
      <c r="X1015" s="996"/>
      <c r="Y1015" s="996"/>
    </row>
    <row r="1016" spans="1:25" x14ac:dyDescent="0.2">
      <c r="A1016" s="995"/>
      <c r="B1016" s="995"/>
      <c r="C1016" s="995"/>
      <c r="D1016" s="995"/>
      <c r="E1016" s="995"/>
      <c r="R1016" s="996"/>
      <c r="S1016" s="996"/>
      <c r="T1016" s="996"/>
      <c r="U1016" s="996"/>
      <c r="V1016" s="996"/>
      <c r="W1016" s="996"/>
      <c r="X1016" s="996"/>
      <c r="Y1016" s="996"/>
    </row>
    <row r="1017" spans="1:25" x14ac:dyDescent="0.2">
      <c r="A1017" s="995"/>
      <c r="B1017" s="995"/>
      <c r="C1017" s="995"/>
      <c r="D1017" s="995"/>
      <c r="E1017" s="995"/>
      <c r="R1017" s="996"/>
      <c r="S1017" s="996"/>
      <c r="T1017" s="996"/>
      <c r="U1017" s="996"/>
      <c r="V1017" s="996"/>
      <c r="W1017" s="996"/>
      <c r="X1017" s="996"/>
      <c r="Y1017" s="996"/>
    </row>
    <row r="1018" spans="1:25" x14ac:dyDescent="0.2">
      <c r="A1018" s="995"/>
      <c r="B1018" s="995"/>
      <c r="C1018" s="995"/>
      <c r="D1018" s="995"/>
      <c r="E1018" s="995"/>
      <c r="R1018" s="996"/>
      <c r="S1018" s="996"/>
      <c r="T1018" s="996"/>
      <c r="U1018" s="996"/>
      <c r="V1018" s="996"/>
      <c r="W1018" s="996"/>
      <c r="X1018" s="996"/>
      <c r="Y1018" s="996"/>
    </row>
    <row r="1019" spans="1:25" x14ac:dyDescent="0.2">
      <c r="A1019" s="995"/>
      <c r="B1019" s="995"/>
      <c r="C1019" s="995"/>
      <c r="D1019" s="995"/>
      <c r="E1019" s="995"/>
      <c r="R1019" s="996"/>
      <c r="S1019" s="996"/>
      <c r="T1019" s="996"/>
      <c r="U1019" s="996"/>
      <c r="V1019" s="996"/>
      <c r="W1019" s="996"/>
      <c r="X1019" s="996"/>
      <c r="Y1019" s="996"/>
    </row>
    <row r="1020" spans="1:25" x14ac:dyDescent="0.2">
      <c r="A1020" s="995"/>
      <c r="B1020" s="995"/>
      <c r="C1020" s="995"/>
      <c r="D1020" s="995"/>
      <c r="E1020" s="995"/>
      <c r="R1020" s="996"/>
      <c r="S1020" s="996"/>
      <c r="T1020" s="996"/>
      <c r="U1020" s="996"/>
      <c r="V1020" s="996"/>
      <c r="W1020" s="996"/>
      <c r="X1020" s="996"/>
      <c r="Y1020" s="996"/>
    </row>
    <row r="1021" spans="1:25" x14ac:dyDescent="0.2">
      <c r="A1021" s="995"/>
      <c r="B1021" s="995"/>
      <c r="C1021" s="995"/>
      <c r="D1021" s="995"/>
      <c r="E1021" s="995"/>
      <c r="R1021" s="996"/>
      <c r="S1021" s="996"/>
      <c r="T1021" s="996"/>
      <c r="U1021" s="996"/>
      <c r="V1021" s="996"/>
      <c r="W1021" s="996"/>
      <c r="X1021" s="996"/>
      <c r="Y1021" s="996"/>
    </row>
    <row r="1022" spans="1:25" x14ac:dyDescent="0.2">
      <c r="A1022" s="995"/>
      <c r="B1022" s="995"/>
      <c r="C1022" s="995"/>
      <c r="D1022" s="995"/>
      <c r="E1022" s="995"/>
      <c r="R1022" s="996"/>
      <c r="S1022" s="996"/>
      <c r="T1022" s="996"/>
      <c r="U1022" s="996"/>
      <c r="V1022" s="996"/>
      <c r="W1022" s="996"/>
      <c r="X1022" s="996"/>
      <c r="Y1022" s="996"/>
    </row>
    <row r="1023" spans="1:25" x14ac:dyDescent="0.2">
      <c r="A1023" s="995"/>
      <c r="B1023" s="995"/>
      <c r="C1023" s="995"/>
      <c r="D1023" s="995"/>
      <c r="E1023" s="995"/>
      <c r="R1023" s="996"/>
      <c r="S1023" s="996"/>
      <c r="T1023" s="996"/>
      <c r="U1023" s="996"/>
      <c r="V1023" s="996"/>
      <c r="W1023" s="996"/>
      <c r="X1023" s="996"/>
      <c r="Y1023" s="996"/>
    </row>
    <row r="1024" spans="1:25" x14ac:dyDescent="0.2">
      <c r="A1024" s="995"/>
      <c r="B1024" s="995"/>
      <c r="C1024" s="995"/>
      <c r="D1024" s="995"/>
      <c r="E1024" s="995"/>
      <c r="R1024" s="996"/>
      <c r="S1024" s="996"/>
      <c r="T1024" s="996"/>
      <c r="U1024" s="996"/>
      <c r="V1024" s="996"/>
      <c r="W1024" s="996"/>
      <c r="X1024" s="996"/>
      <c r="Y1024" s="996"/>
    </row>
    <row r="1025" spans="1:25" x14ac:dyDescent="0.2">
      <c r="A1025" s="995"/>
      <c r="B1025" s="995"/>
      <c r="C1025" s="995"/>
      <c r="D1025" s="995"/>
      <c r="E1025" s="995"/>
      <c r="R1025" s="996"/>
      <c r="S1025" s="996"/>
      <c r="T1025" s="996"/>
      <c r="U1025" s="996"/>
      <c r="V1025" s="996"/>
      <c r="W1025" s="996"/>
      <c r="X1025" s="996"/>
      <c r="Y1025" s="996"/>
    </row>
    <row r="1026" spans="1:25" x14ac:dyDescent="0.2">
      <c r="A1026" s="995"/>
      <c r="B1026" s="995"/>
      <c r="C1026" s="995"/>
      <c r="D1026" s="995"/>
      <c r="E1026" s="995"/>
      <c r="R1026" s="996"/>
      <c r="S1026" s="996"/>
      <c r="T1026" s="996"/>
      <c r="U1026" s="996"/>
      <c r="V1026" s="996"/>
      <c r="W1026" s="996"/>
      <c r="X1026" s="996"/>
      <c r="Y1026" s="996"/>
    </row>
    <row r="1027" spans="1:25" x14ac:dyDescent="0.2">
      <c r="A1027" s="995"/>
      <c r="B1027" s="995"/>
      <c r="C1027" s="995"/>
      <c r="D1027" s="995"/>
      <c r="E1027" s="995"/>
      <c r="R1027" s="996"/>
      <c r="S1027" s="996"/>
      <c r="T1027" s="996"/>
      <c r="U1027" s="996"/>
      <c r="V1027" s="996"/>
      <c r="W1027" s="996"/>
      <c r="X1027" s="996"/>
      <c r="Y1027" s="996"/>
    </row>
    <row r="1028" spans="1:25" x14ac:dyDescent="0.2">
      <c r="A1028" s="995"/>
      <c r="B1028" s="995"/>
      <c r="C1028" s="995"/>
      <c r="D1028" s="995"/>
      <c r="E1028" s="995"/>
      <c r="R1028" s="996"/>
      <c r="S1028" s="996"/>
      <c r="T1028" s="996"/>
      <c r="U1028" s="996"/>
      <c r="V1028" s="996"/>
      <c r="W1028" s="996"/>
      <c r="X1028" s="996"/>
      <c r="Y1028" s="996"/>
    </row>
    <row r="1029" spans="1:25" x14ac:dyDescent="0.2">
      <c r="A1029" s="995"/>
      <c r="B1029" s="995"/>
      <c r="C1029" s="995"/>
      <c r="D1029" s="995"/>
      <c r="E1029" s="995"/>
      <c r="R1029" s="996"/>
      <c r="S1029" s="996"/>
      <c r="T1029" s="996"/>
      <c r="U1029" s="996"/>
      <c r="V1029" s="996"/>
      <c r="W1029" s="996"/>
      <c r="X1029" s="996"/>
      <c r="Y1029" s="996"/>
    </row>
    <row r="1030" spans="1:25" x14ac:dyDescent="0.2">
      <c r="A1030" s="995"/>
      <c r="B1030" s="995"/>
      <c r="C1030" s="995"/>
      <c r="D1030" s="995"/>
      <c r="E1030" s="995"/>
      <c r="R1030" s="996"/>
      <c r="S1030" s="996"/>
      <c r="T1030" s="996"/>
      <c r="U1030" s="996"/>
      <c r="V1030" s="996"/>
      <c r="W1030" s="996"/>
      <c r="X1030" s="996"/>
      <c r="Y1030" s="996"/>
    </row>
    <row r="1031" spans="1:25" x14ac:dyDescent="0.2">
      <c r="A1031" s="995"/>
      <c r="B1031" s="995"/>
      <c r="C1031" s="995"/>
      <c r="D1031" s="995"/>
      <c r="E1031" s="995"/>
      <c r="R1031" s="996"/>
      <c r="S1031" s="996"/>
      <c r="T1031" s="996"/>
      <c r="U1031" s="996"/>
      <c r="V1031" s="996"/>
      <c r="W1031" s="996"/>
      <c r="X1031" s="996"/>
      <c r="Y1031" s="996"/>
    </row>
    <row r="1032" spans="1:25" x14ac:dyDescent="0.2">
      <c r="A1032" s="995"/>
      <c r="B1032" s="995"/>
      <c r="C1032" s="995"/>
      <c r="D1032" s="995"/>
      <c r="E1032" s="995"/>
      <c r="R1032" s="996"/>
      <c r="S1032" s="996"/>
      <c r="T1032" s="996"/>
      <c r="U1032" s="996"/>
      <c r="V1032" s="996"/>
      <c r="W1032" s="996"/>
      <c r="X1032" s="996"/>
      <c r="Y1032" s="996"/>
    </row>
    <row r="1033" spans="1:25" x14ac:dyDescent="0.2">
      <c r="A1033" s="995"/>
      <c r="B1033" s="995"/>
      <c r="C1033" s="995"/>
      <c r="D1033" s="995"/>
      <c r="E1033" s="995"/>
      <c r="R1033" s="996"/>
      <c r="S1033" s="996"/>
      <c r="T1033" s="996"/>
      <c r="U1033" s="996"/>
      <c r="V1033" s="996"/>
      <c r="W1033" s="996"/>
      <c r="X1033" s="996"/>
      <c r="Y1033" s="996"/>
    </row>
    <row r="1034" spans="1:25" x14ac:dyDescent="0.2">
      <c r="A1034" s="995"/>
      <c r="B1034" s="995"/>
      <c r="C1034" s="995"/>
      <c r="D1034" s="995"/>
      <c r="E1034" s="995"/>
      <c r="R1034" s="996"/>
      <c r="S1034" s="996"/>
      <c r="T1034" s="996"/>
      <c r="U1034" s="996"/>
      <c r="V1034" s="996"/>
      <c r="W1034" s="996"/>
      <c r="X1034" s="996"/>
      <c r="Y1034" s="996"/>
    </row>
    <row r="1035" spans="1:25" x14ac:dyDescent="0.2">
      <c r="A1035" s="995"/>
      <c r="B1035" s="995"/>
      <c r="C1035" s="995"/>
      <c r="D1035" s="995"/>
      <c r="E1035" s="995"/>
      <c r="R1035" s="996"/>
      <c r="S1035" s="996"/>
      <c r="T1035" s="996"/>
      <c r="U1035" s="996"/>
      <c r="V1035" s="996"/>
      <c r="W1035" s="996"/>
      <c r="X1035" s="996"/>
      <c r="Y1035" s="996"/>
    </row>
    <row r="1036" spans="1:25" x14ac:dyDescent="0.2">
      <c r="A1036" s="995"/>
      <c r="B1036" s="995"/>
      <c r="C1036" s="995"/>
      <c r="D1036" s="995"/>
      <c r="E1036" s="995"/>
      <c r="R1036" s="996"/>
      <c r="S1036" s="996"/>
      <c r="T1036" s="996"/>
      <c r="U1036" s="996"/>
      <c r="V1036" s="996"/>
      <c r="W1036" s="996"/>
      <c r="X1036" s="996"/>
      <c r="Y1036" s="996"/>
    </row>
    <row r="1037" spans="1:25" x14ac:dyDescent="0.2">
      <c r="A1037" s="995"/>
      <c r="B1037" s="995"/>
      <c r="C1037" s="995"/>
      <c r="D1037" s="995"/>
      <c r="E1037" s="995"/>
      <c r="R1037" s="996"/>
      <c r="S1037" s="996"/>
      <c r="T1037" s="996"/>
      <c r="U1037" s="996"/>
      <c r="V1037" s="996"/>
      <c r="W1037" s="996"/>
      <c r="X1037" s="996"/>
      <c r="Y1037" s="996"/>
    </row>
    <row r="1038" spans="1:25" x14ac:dyDescent="0.2">
      <c r="A1038" s="995"/>
      <c r="B1038" s="995"/>
      <c r="C1038" s="995"/>
      <c r="D1038" s="995"/>
      <c r="E1038" s="995"/>
      <c r="R1038" s="996"/>
      <c r="S1038" s="996"/>
      <c r="T1038" s="996"/>
      <c r="U1038" s="996"/>
      <c r="V1038" s="996"/>
      <c r="W1038" s="996"/>
      <c r="X1038" s="996"/>
      <c r="Y1038" s="996"/>
    </row>
    <row r="1039" spans="1:25" x14ac:dyDescent="0.2">
      <c r="A1039" s="995"/>
      <c r="B1039" s="995"/>
      <c r="C1039" s="995"/>
      <c r="D1039" s="995"/>
      <c r="E1039" s="995"/>
      <c r="R1039" s="996"/>
      <c r="S1039" s="996"/>
      <c r="T1039" s="996"/>
      <c r="U1039" s="996"/>
      <c r="V1039" s="996"/>
      <c r="W1039" s="996"/>
      <c r="X1039" s="996"/>
      <c r="Y1039" s="996"/>
    </row>
    <row r="1040" spans="1:25" x14ac:dyDescent="0.2">
      <c r="A1040" s="995"/>
      <c r="B1040" s="995"/>
      <c r="C1040" s="995"/>
      <c r="D1040" s="995"/>
      <c r="E1040" s="995"/>
      <c r="R1040" s="996"/>
      <c r="S1040" s="996"/>
      <c r="T1040" s="996"/>
      <c r="U1040" s="996"/>
      <c r="V1040" s="996"/>
      <c r="W1040" s="996"/>
      <c r="X1040" s="996"/>
      <c r="Y1040" s="996"/>
    </row>
    <row r="1041" spans="1:25" x14ac:dyDescent="0.2">
      <c r="A1041" s="995"/>
      <c r="B1041" s="995"/>
      <c r="C1041" s="995"/>
      <c r="D1041" s="995"/>
      <c r="E1041" s="995"/>
      <c r="R1041" s="996"/>
      <c r="S1041" s="996"/>
      <c r="T1041" s="996"/>
      <c r="U1041" s="996"/>
      <c r="V1041" s="996"/>
      <c r="W1041" s="996"/>
      <c r="X1041" s="996"/>
      <c r="Y1041" s="996"/>
    </row>
    <row r="1042" spans="1:25" x14ac:dyDescent="0.2">
      <c r="A1042" s="995"/>
      <c r="B1042" s="995"/>
      <c r="C1042" s="995"/>
      <c r="D1042" s="995"/>
      <c r="E1042" s="995"/>
      <c r="R1042" s="996"/>
      <c r="S1042" s="996"/>
      <c r="T1042" s="996"/>
      <c r="U1042" s="996"/>
      <c r="V1042" s="996"/>
      <c r="W1042" s="996"/>
      <c r="X1042" s="996"/>
      <c r="Y1042" s="996"/>
    </row>
    <row r="1043" spans="1:25" x14ac:dyDescent="0.2">
      <c r="A1043" s="995"/>
      <c r="B1043" s="995"/>
      <c r="C1043" s="995"/>
      <c r="D1043" s="995"/>
      <c r="E1043" s="995"/>
      <c r="R1043" s="996"/>
      <c r="S1043" s="996"/>
      <c r="T1043" s="996"/>
      <c r="U1043" s="996"/>
      <c r="V1043" s="996"/>
      <c r="W1043" s="996"/>
      <c r="X1043" s="996"/>
      <c r="Y1043" s="996"/>
    </row>
    <row r="1044" spans="1:25" x14ac:dyDescent="0.2">
      <c r="A1044" s="995"/>
      <c r="B1044" s="995"/>
      <c r="C1044" s="995"/>
      <c r="D1044" s="995"/>
      <c r="E1044" s="995"/>
      <c r="R1044" s="996"/>
      <c r="S1044" s="996"/>
      <c r="T1044" s="996"/>
      <c r="U1044" s="996"/>
      <c r="V1044" s="996"/>
      <c r="W1044" s="996"/>
      <c r="X1044" s="996"/>
      <c r="Y1044" s="996"/>
    </row>
    <row r="1045" spans="1:25" x14ac:dyDescent="0.2">
      <c r="A1045" s="995"/>
      <c r="B1045" s="995"/>
      <c r="C1045" s="995"/>
      <c r="D1045" s="995"/>
      <c r="E1045" s="995"/>
      <c r="R1045" s="996"/>
      <c r="S1045" s="996"/>
      <c r="T1045" s="996"/>
      <c r="U1045" s="996"/>
      <c r="V1045" s="996"/>
      <c r="W1045" s="996"/>
      <c r="X1045" s="996"/>
      <c r="Y1045" s="996"/>
    </row>
    <row r="1046" spans="1:25" x14ac:dyDescent="0.2">
      <c r="A1046" s="995"/>
      <c r="B1046" s="995"/>
      <c r="C1046" s="995"/>
      <c r="D1046" s="995"/>
      <c r="E1046" s="995"/>
      <c r="R1046" s="996"/>
      <c r="S1046" s="996"/>
      <c r="T1046" s="996"/>
      <c r="U1046" s="996"/>
      <c r="V1046" s="996"/>
      <c r="W1046" s="996"/>
      <c r="X1046" s="996"/>
      <c r="Y1046" s="996"/>
    </row>
    <row r="1047" spans="1:25" x14ac:dyDescent="0.2">
      <c r="A1047" s="995"/>
      <c r="B1047" s="995"/>
      <c r="C1047" s="995"/>
      <c r="D1047" s="995"/>
      <c r="E1047" s="995"/>
      <c r="R1047" s="996"/>
      <c r="S1047" s="996"/>
      <c r="T1047" s="996"/>
      <c r="U1047" s="996"/>
      <c r="V1047" s="996"/>
      <c r="W1047" s="996"/>
      <c r="X1047" s="996"/>
      <c r="Y1047" s="996"/>
    </row>
    <row r="1048" spans="1:25" x14ac:dyDescent="0.2">
      <c r="A1048" s="995"/>
      <c r="B1048" s="995"/>
      <c r="C1048" s="995"/>
      <c r="D1048" s="995"/>
      <c r="E1048" s="995"/>
      <c r="R1048" s="996"/>
      <c r="S1048" s="996"/>
      <c r="T1048" s="996"/>
      <c r="U1048" s="996"/>
      <c r="V1048" s="996"/>
      <c r="W1048" s="996"/>
      <c r="X1048" s="996"/>
      <c r="Y1048" s="996"/>
    </row>
    <row r="1049" spans="1:25" x14ac:dyDescent="0.2">
      <c r="A1049" s="995"/>
      <c r="B1049" s="995"/>
      <c r="C1049" s="995"/>
      <c r="D1049" s="995"/>
      <c r="E1049" s="995"/>
      <c r="R1049" s="996"/>
      <c r="S1049" s="996"/>
      <c r="T1049" s="996"/>
      <c r="U1049" s="996"/>
      <c r="V1049" s="996"/>
      <c r="W1049" s="996"/>
      <c r="X1049" s="996"/>
      <c r="Y1049" s="996"/>
    </row>
    <row r="1050" spans="1:25" x14ac:dyDescent="0.2">
      <c r="A1050" s="995"/>
      <c r="B1050" s="995"/>
      <c r="C1050" s="995"/>
      <c r="D1050" s="995"/>
      <c r="E1050" s="995"/>
      <c r="R1050" s="996"/>
      <c r="S1050" s="996"/>
      <c r="T1050" s="996"/>
      <c r="U1050" s="996"/>
      <c r="V1050" s="996"/>
      <c r="W1050" s="996"/>
      <c r="X1050" s="996"/>
      <c r="Y1050" s="996"/>
    </row>
    <row r="1051" spans="1:25" x14ac:dyDescent="0.2">
      <c r="A1051" s="995"/>
      <c r="B1051" s="995"/>
      <c r="C1051" s="995"/>
      <c r="D1051" s="995"/>
      <c r="E1051" s="995"/>
      <c r="R1051" s="996"/>
      <c r="S1051" s="996"/>
      <c r="T1051" s="996"/>
      <c r="U1051" s="996"/>
      <c r="V1051" s="996"/>
      <c r="W1051" s="996"/>
      <c r="X1051" s="996"/>
      <c r="Y1051" s="996"/>
    </row>
    <row r="1052" spans="1:25" x14ac:dyDescent="0.2">
      <c r="A1052" s="995"/>
      <c r="B1052" s="995"/>
      <c r="C1052" s="995"/>
      <c r="D1052" s="995"/>
      <c r="E1052" s="995"/>
      <c r="R1052" s="996"/>
      <c r="S1052" s="996"/>
      <c r="T1052" s="996"/>
      <c r="U1052" s="996"/>
      <c r="V1052" s="996"/>
      <c r="W1052" s="996"/>
      <c r="X1052" s="996"/>
      <c r="Y1052" s="996"/>
    </row>
    <row r="1053" spans="1:25" x14ac:dyDescent="0.2">
      <c r="A1053" s="995"/>
      <c r="B1053" s="995"/>
      <c r="C1053" s="995"/>
      <c r="D1053" s="995"/>
      <c r="E1053" s="995"/>
      <c r="R1053" s="996"/>
      <c r="S1053" s="996"/>
      <c r="T1053" s="996"/>
      <c r="U1053" s="996"/>
      <c r="V1053" s="996"/>
      <c r="W1053" s="996"/>
      <c r="X1053" s="996"/>
      <c r="Y1053" s="996"/>
    </row>
    <row r="1054" spans="1:25" x14ac:dyDescent="0.2">
      <c r="A1054" s="995"/>
      <c r="B1054" s="995"/>
      <c r="C1054" s="995"/>
      <c r="D1054" s="995"/>
      <c r="E1054" s="995"/>
      <c r="R1054" s="996"/>
      <c r="S1054" s="996"/>
      <c r="T1054" s="996"/>
      <c r="U1054" s="996"/>
      <c r="V1054" s="996"/>
      <c r="W1054" s="996"/>
      <c r="X1054" s="996"/>
      <c r="Y1054" s="996"/>
    </row>
    <row r="1055" spans="1:25" x14ac:dyDescent="0.2">
      <c r="A1055" s="995"/>
      <c r="B1055" s="995"/>
      <c r="C1055" s="995"/>
      <c r="D1055" s="995"/>
      <c r="E1055" s="995"/>
      <c r="R1055" s="996"/>
      <c r="S1055" s="996"/>
      <c r="T1055" s="996"/>
      <c r="U1055" s="996"/>
      <c r="V1055" s="996"/>
      <c r="W1055" s="996"/>
      <c r="X1055" s="996"/>
      <c r="Y1055" s="996"/>
    </row>
    <row r="1056" spans="1:25" x14ac:dyDescent="0.2">
      <c r="A1056" s="995"/>
      <c r="B1056" s="995"/>
      <c r="C1056" s="995"/>
      <c r="D1056" s="995"/>
      <c r="E1056" s="995"/>
      <c r="R1056" s="996"/>
      <c r="S1056" s="996"/>
      <c r="T1056" s="996"/>
      <c r="U1056" s="996"/>
      <c r="V1056" s="996"/>
      <c r="W1056" s="996"/>
      <c r="X1056" s="996"/>
      <c r="Y1056" s="996"/>
    </row>
    <row r="1057" spans="1:25" x14ac:dyDescent="0.2">
      <c r="A1057" s="995"/>
      <c r="B1057" s="995"/>
      <c r="C1057" s="995"/>
      <c r="D1057" s="995"/>
      <c r="E1057" s="995"/>
      <c r="R1057" s="996"/>
      <c r="S1057" s="996"/>
      <c r="T1057" s="996"/>
      <c r="U1057" s="996"/>
      <c r="V1057" s="996"/>
      <c r="W1057" s="996"/>
      <c r="X1057" s="996"/>
      <c r="Y1057" s="996"/>
    </row>
    <row r="1058" spans="1:25" x14ac:dyDescent="0.2">
      <c r="A1058" s="995"/>
      <c r="B1058" s="995"/>
      <c r="C1058" s="995"/>
      <c r="D1058" s="995"/>
      <c r="E1058" s="995"/>
      <c r="R1058" s="996"/>
      <c r="S1058" s="996"/>
      <c r="T1058" s="996"/>
      <c r="U1058" s="996"/>
      <c r="V1058" s="996"/>
      <c r="W1058" s="996"/>
      <c r="X1058" s="996"/>
      <c r="Y1058" s="996"/>
    </row>
    <row r="1059" spans="1:25" x14ac:dyDescent="0.2">
      <c r="A1059" s="995"/>
      <c r="B1059" s="995"/>
      <c r="C1059" s="995"/>
      <c r="D1059" s="995"/>
      <c r="E1059" s="995"/>
      <c r="R1059" s="996"/>
      <c r="S1059" s="996"/>
      <c r="T1059" s="996"/>
      <c r="U1059" s="996"/>
      <c r="V1059" s="996"/>
      <c r="W1059" s="996"/>
      <c r="X1059" s="996"/>
      <c r="Y1059" s="996"/>
    </row>
    <row r="1060" spans="1:25" x14ac:dyDescent="0.2">
      <c r="A1060" s="995"/>
      <c r="B1060" s="995"/>
      <c r="C1060" s="995"/>
      <c r="D1060" s="995"/>
      <c r="E1060" s="995"/>
      <c r="R1060" s="996"/>
      <c r="S1060" s="996"/>
      <c r="T1060" s="996"/>
      <c r="U1060" s="996"/>
      <c r="V1060" s="996"/>
      <c r="W1060" s="996"/>
      <c r="X1060" s="996"/>
      <c r="Y1060" s="996"/>
    </row>
    <row r="1061" spans="1:25" x14ac:dyDescent="0.2">
      <c r="A1061" s="995"/>
      <c r="B1061" s="995"/>
      <c r="C1061" s="995"/>
      <c r="D1061" s="995"/>
      <c r="E1061" s="995"/>
      <c r="R1061" s="996"/>
      <c r="S1061" s="996"/>
      <c r="T1061" s="996"/>
      <c r="U1061" s="996"/>
      <c r="V1061" s="996"/>
      <c r="W1061" s="996"/>
      <c r="X1061" s="996"/>
      <c r="Y1061" s="996"/>
    </row>
    <row r="1062" spans="1:25" x14ac:dyDescent="0.2">
      <c r="A1062" s="995"/>
      <c r="B1062" s="995"/>
      <c r="C1062" s="995"/>
      <c r="D1062" s="995"/>
      <c r="E1062" s="995"/>
      <c r="R1062" s="996"/>
      <c r="S1062" s="996"/>
      <c r="T1062" s="996"/>
      <c r="U1062" s="996"/>
      <c r="V1062" s="996"/>
      <c r="W1062" s="996"/>
      <c r="X1062" s="996"/>
      <c r="Y1062" s="996"/>
    </row>
    <row r="1063" spans="1:25" x14ac:dyDescent="0.2">
      <c r="A1063" s="995"/>
      <c r="B1063" s="995"/>
      <c r="C1063" s="995"/>
      <c r="D1063" s="995"/>
      <c r="E1063" s="995"/>
      <c r="R1063" s="996"/>
      <c r="S1063" s="996"/>
      <c r="T1063" s="996"/>
      <c r="U1063" s="996"/>
      <c r="V1063" s="996"/>
      <c r="W1063" s="996"/>
      <c r="X1063" s="996"/>
      <c r="Y1063" s="996"/>
    </row>
    <row r="1064" spans="1:25" x14ac:dyDescent="0.2">
      <c r="A1064" s="995"/>
      <c r="B1064" s="995"/>
      <c r="C1064" s="995"/>
      <c r="D1064" s="995"/>
      <c r="E1064" s="995"/>
      <c r="R1064" s="996"/>
      <c r="S1064" s="996"/>
      <c r="T1064" s="996"/>
      <c r="U1064" s="996"/>
      <c r="V1064" s="996"/>
      <c r="W1064" s="996"/>
      <c r="X1064" s="996"/>
      <c r="Y1064" s="996"/>
    </row>
    <row r="1065" spans="1:25" x14ac:dyDescent="0.2">
      <c r="A1065" s="995"/>
      <c r="B1065" s="995"/>
      <c r="C1065" s="995"/>
      <c r="D1065" s="995"/>
      <c r="E1065" s="995"/>
      <c r="R1065" s="996"/>
      <c r="S1065" s="996"/>
      <c r="T1065" s="996"/>
      <c r="U1065" s="996"/>
      <c r="V1065" s="996"/>
      <c r="W1065" s="996"/>
      <c r="X1065" s="996"/>
      <c r="Y1065" s="996"/>
    </row>
    <row r="1066" spans="1:25" x14ac:dyDescent="0.2">
      <c r="A1066" s="995"/>
      <c r="B1066" s="995"/>
      <c r="C1066" s="995"/>
      <c r="D1066" s="995"/>
      <c r="E1066" s="995"/>
      <c r="R1066" s="996"/>
      <c r="S1066" s="996"/>
      <c r="T1066" s="996"/>
      <c r="U1066" s="996"/>
      <c r="V1066" s="996"/>
      <c r="W1066" s="996"/>
      <c r="X1066" s="996"/>
      <c r="Y1066" s="996"/>
    </row>
    <row r="1067" spans="1:25" x14ac:dyDescent="0.2">
      <c r="A1067" s="995"/>
      <c r="B1067" s="995"/>
      <c r="C1067" s="995"/>
      <c r="D1067" s="995"/>
      <c r="E1067" s="995"/>
      <c r="R1067" s="996"/>
      <c r="S1067" s="996"/>
      <c r="T1067" s="996"/>
      <c r="U1067" s="996"/>
      <c r="V1067" s="996"/>
      <c r="W1067" s="996"/>
      <c r="X1067" s="996"/>
      <c r="Y1067" s="996"/>
    </row>
    <row r="1068" spans="1:25" x14ac:dyDescent="0.2">
      <c r="A1068" s="995"/>
      <c r="B1068" s="995"/>
      <c r="C1068" s="995"/>
      <c r="D1068" s="995"/>
      <c r="E1068" s="995"/>
      <c r="R1068" s="996"/>
      <c r="S1068" s="996"/>
      <c r="T1068" s="996"/>
      <c r="U1068" s="996"/>
      <c r="V1068" s="996"/>
      <c r="W1068" s="996"/>
      <c r="X1068" s="996"/>
      <c r="Y1068" s="996"/>
    </row>
    <row r="1069" spans="1:25" x14ac:dyDescent="0.2">
      <c r="A1069" s="995"/>
      <c r="B1069" s="995"/>
      <c r="C1069" s="995"/>
      <c r="D1069" s="995"/>
      <c r="E1069" s="995"/>
      <c r="R1069" s="996"/>
      <c r="S1069" s="996"/>
      <c r="T1069" s="996"/>
      <c r="U1069" s="996"/>
      <c r="V1069" s="996"/>
      <c r="W1069" s="996"/>
      <c r="X1069" s="996"/>
      <c r="Y1069" s="996"/>
    </row>
    <row r="1070" spans="1:25" x14ac:dyDescent="0.2">
      <c r="A1070" s="995"/>
      <c r="B1070" s="995"/>
      <c r="C1070" s="995"/>
      <c r="D1070" s="995"/>
      <c r="E1070" s="995"/>
      <c r="R1070" s="996"/>
      <c r="S1070" s="996"/>
      <c r="T1070" s="996"/>
      <c r="U1070" s="996"/>
      <c r="V1070" s="996"/>
      <c r="W1070" s="996"/>
      <c r="X1070" s="996"/>
      <c r="Y1070" s="996"/>
    </row>
    <row r="1071" spans="1:25" x14ac:dyDescent="0.2">
      <c r="A1071" s="995"/>
      <c r="B1071" s="995"/>
      <c r="C1071" s="995"/>
      <c r="D1071" s="995"/>
      <c r="E1071" s="995"/>
      <c r="R1071" s="996"/>
      <c r="S1071" s="996"/>
      <c r="T1071" s="996"/>
      <c r="U1071" s="996"/>
      <c r="V1071" s="996"/>
      <c r="W1071" s="996"/>
      <c r="X1071" s="996"/>
      <c r="Y1071" s="996"/>
    </row>
    <row r="1072" spans="1:25" x14ac:dyDescent="0.2">
      <c r="A1072" s="995"/>
      <c r="B1072" s="995"/>
      <c r="C1072" s="995"/>
      <c r="D1072" s="995"/>
      <c r="E1072" s="995"/>
      <c r="R1072" s="996"/>
      <c r="S1072" s="996"/>
      <c r="T1072" s="996"/>
      <c r="U1072" s="996"/>
      <c r="V1072" s="996"/>
      <c r="W1072" s="996"/>
      <c r="X1072" s="996"/>
      <c r="Y1072" s="996"/>
    </row>
    <row r="1073" spans="1:25" x14ac:dyDescent="0.2">
      <c r="A1073" s="995"/>
      <c r="B1073" s="995"/>
      <c r="C1073" s="995"/>
      <c r="D1073" s="995"/>
      <c r="E1073" s="995"/>
      <c r="R1073" s="996"/>
      <c r="S1073" s="996"/>
      <c r="T1073" s="996"/>
      <c r="U1073" s="996"/>
      <c r="V1073" s="996"/>
      <c r="W1073" s="996"/>
      <c r="X1073" s="996"/>
      <c r="Y1073" s="996"/>
    </row>
    <row r="1074" spans="1:25" x14ac:dyDescent="0.2">
      <c r="A1074" s="995"/>
      <c r="B1074" s="995"/>
      <c r="C1074" s="995"/>
      <c r="D1074" s="995"/>
      <c r="E1074" s="995"/>
      <c r="R1074" s="996"/>
      <c r="S1074" s="996"/>
      <c r="T1074" s="996"/>
      <c r="U1074" s="996"/>
      <c r="V1074" s="996"/>
      <c r="W1074" s="996"/>
      <c r="X1074" s="996"/>
      <c r="Y1074" s="996"/>
    </row>
    <row r="1075" spans="1:25" x14ac:dyDescent="0.2">
      <c r="A1075" s="995"/>
      <c r="B1075" s="995"/>
      <c r="C1075" s="995"/>
      <c r="D1075" s="995"/>
      <c r="E1075" s="995"/>
      <c r="R1075" s="996"/>
      <c r="S1075" s="996"/>
      <c r="T1075" s="996"/>
      <c r="U1075" s="996"/>
      <c r="V1075" s="996"/>
      <c r="W1075" s="996"/>
      <c r="X1075" s="996"/>
      <c r="Y1075" s="996"/>
    </row>
    <row r="1076" spans="1:25" x14ac:dyDescent="0.2">
      <c r="A1076" s="995"/>
      <c r="B1076" s="995"/>
      <c r="C1076" s="995"/>
      <c r="D1076" s="995"/>
      <c r="E1076" s="995"/>
      <c r="R1076" s="996"/>
      <c r="S1076" s="996"/>
      <c r="T1076" s="996"/>
      <c r="U1076" s="996"/>
      <c r="V1076" s="996"/>
      <c r="W1076" s="996"/>
      <c r="X1076" s="996"/>
      <c r="Y1076" s="996"/>
    </row>
    <row r="1077" spans="1:25" x14ac:dyDescent="0.2">
      <c r="A1077" s="995"/>
      <c r="B1077" s="995"/>
      <c r="C1077" s="995"/>
      <c r="D1077" s="995"/>
      <c r="E1077" s="995"/>
      <c r="R1077" s="996"/>
      <c r="S1077" s="996"/>
      <c r="T1077" s="996"/>
      <c r="U1077" s="996"/>
      <c r="V1077" s="996"/>
      <c r="W1077" s="996"/>
      <c r="X1077" s="996"/>
      <c r="Y1077" s="996"/>
    </row>
    <row r="1078" spans="1:25" x14ac:dyDescent="0.2">
      <c r="A1078" s="995"/>
      <c r="B1078" s="995"/>
      <c r="C1078" s="995"/>
      <c r="D1078" s="995"/>
      <c r="E1078" s="995"/>
      <c r="R1078" s="996"/>
      <c r="S1078" s="996"/>
      <c r="T1078" s="996"/>
      <c r="U1078" s="996"/>
      <c r="V1078" s="996"/>
      <c r="W1078" s="996"/>
      <c r="X1078" s="996"/>
      <c r="Y1078" s="996"/>
    </row>
    <row r="1079" spans="1:25" x14ac:dyDescent="0.2">
      <c r="A1079" s="995"/>
      <c r="B1079" s="995"/>
      <c r="C1079" s="995"/>
      <c r="D1079" s="995"/>
      <c r="E1079" s="995"/>
      <c r="R1079" s="996"/>
      <c r="S1079" s="996"/>
      <c r="T1079" s="996"/>
      <c r="U1079" s="996"/>
      <c r="V1079" s="996"/>
      <c r="W1079" s="996"/>
      <c r="X1079" s="996"/>
      <c r="Y1079" s="996"/>
    </row>
    <row r="1080" spans="1:25" x14ac:dyDescent="0.2">
      <c r="A1080" s="995"/>
      <c r="B1080" s="995"/>
      <c r="C1080" s="995"/>
      <c r="D1080" s="995"/>
      <c r="E1080" s="995"/>
      <c r="R1080" s="996"/>
      <c r="S1080" s="996"/>
      <c r="T1080" s="996"/>
      <c r="U1080" s="996"/>
      <c r="V1080" s="996"/>
      <c r="W1080" s="996"/>
      <c r="X1080" s="996"/>
      <c r="Y1080" s="996"/>
    </row>
    <row r="1081" spans="1:25" x14ac:dyDescent="0.2">
      <c r="A1081" s="995"/>
      <c r="B1081" s="995"/>
      <c r="C1081" s="995"/>
      <c r="D1081" s="995"/>
      <c r="E1081" s="995"/>
      <c r="R1081" s="996"/>
      <c r="S1081" s="996"/>
      <c r="T1081" s="996"/>
      <c r="U1081" s="996"/>
      <c r="V1081" s="996"/>
      <c r="W1081" s="996"/>
      <c r="X1081" s="996"/>
      <c r="Y1081" s="996"/>
    </row>
    <row r="1082" spans="1:25" x14ac:dyDescent="0.2">
      <c r="A1082" s="995"/>
      <c r="B1082" s="995"/>
      <c r="C1082" s="995"/>
      <c r="D1082" s="995"/>
      <c r="E1082" s="995"/>
      <c r="R1082" s="996"/>
      <c r="S1082" s="996"/>
      <c r="T1082" s="996"/>
      <c r="U1082" s="996"/>
      <c r="V1082" s="996"/>
      <c r="W1082" s="996"/>
      <c r="X1082" s="996"/>
      <c r="Y1082" s="996"/>
    </row>
    <row r="1083" spans="1:25" x14ac:dyDescent="0.2">
      <c r="A1083" s="995"/>
      <c r="B1083" s="995"/>
      <c r="C1083" s="995"/>
      <c r="D1083" s="995"/>
      <c r="E1083" s="995"/>
      <c r="R1083" s="996"/>
      <c r="S1083" s="996"/>
      <c r="T1083" s="996"/>
      <c r="U1083" s="996"/>
      <c r="V1083" s="996"/>
      <c r="W1083" s="996"/>
      <c r="X1083" s="996"/>
      <c r="Y1083" s="996"/>
    </row>
    <row r="1084" spans="1:25" x14ac:dyDescent="0.2">
      <c r="A1084" s="995"/>
      <c r="B1084" s="995"/>
      <c r="C1084" s="995"/>
      <c r="D1084" s="995"/>
      <c r="E1084" s="995"/>
      <c r="R1084" s="996"/>
      <c r="S1084" s="996"/>
      <c r="T1084" s="996"/>
      <c r="U1084" s="996"/>
      <c r="V1084" s="996"/>
      <c r="W1084" s="996"/>
      <c r="X1084" s="996"/>
      <c r="Y1084" s="996"/>
    </row>
    <row r="1085" spans="1:25" x14ac:dyDescent="0.2">
      <c r="A1085" s="995"/>
      <c r="B1085" s="995"/>
      <c r="C1085" s="995"/>
      <c r="D1085" s="995"/>
      <c r="E1085" s="995"/>
      <c r="R1085" s="996"/>
      <c r="S1085" s="996"/>
      <c r="T1085" s="996"/>
      <c r="U1085" s="996"/>
      <c r="V1085" s="996"/>
      <c r="W1085" s="996"/>
      <c r="X1085" s="996"/>
      <c r="Y1085" s="996"/>
    </row>
    <row r="1086" spans="1:25" x14ac:dyDescent="0.2">
      <c r="A1086" s="995"/>
      <c r="B1086" s="995"/>
      <c r="C1086" s="995"/>
      <c r="D1086" s="995"/>
      <c r="E1086" s="995"/>
      <c r="R1086" s="996"/>
      <c r="S1086" s="996"/>
      <c r="T1086" s="996"/>
      <c r="U1086" s="996"/>
      <c r="V1086" s="996"/>
      <c r="W1086" s="996"/>
      <c r="X1086" s="996"/>
      <c r="Y1086" s="996"/>
    </row>
    <row r="1087" spans="1:25" x14ac:dyDescent="0.2">
      <c r="A1087" s="995"/>
      <c r="B1087" s="995"/>
      <c r="C1087" s="995"/>
      <c r="D1087" s="995"/>
      <c r="E1087" s="995"/>
      <c r="R1087" s="996"/>
      <c r="S1087" s="996"/>
      <c r="T1087" s="996"/>
      <c r="U1087" s="996"/>
      <c r="V1087" s="996"/>
      <c r="W1087" s="996"/>
      <c r="X1087" s="996"/>
      <c r="Y1087" s="996"/>
    </row>
    <row r="1088" spans="1:25" x14ac:dyDescent="0.2">
      <c r="A1088" s="995"/>
      <c r="B1088" s="995"/>
      <c r="C1088" s="995"/>
      <c r="D1088" s="995"/>
      <c r="E1088" s="995"/>
      <c r="R1088" s="996"/>
      <c r="S1088" s="996"/>
      <c r="T1088" s="996"/>
      <c r="U1088" s="996"/>
      <c r="V1088" s="996"/>
      <c r="W1088" s="996"/>
      <c r="X1088" s="996"/>
      <c r="Y1088" s="996"/>
    </row>
    <row r="1089" spans="1:25" x14ac:dyDescent="0.2">
      <c r="A1089" s="995"/>
      <c r="B1089" s="995"/>
      <c r="C1089" s="995"/>
      <c r="D1089" s="995"/>
      <c r="E1089" s="995"/>
      <c r="R1089" s="996"/>
      <c r="S1089" s="996"/>
      <c r="T1089" s="996"/>
      <c r="U1089" s="996"/>
      <c r="V1089" s="996"/>
      <c r="W1089" s="996"/>
      <c r="X1089" s="996"/>
      <c r="Y1089" s="996"/>
    </row>
    <row r="1090" spans="1:25" x14ac:dyDescent="0.2">
      <c r="A1090" s="995"/>
      <c r="B1090" s="995"/>
      <c r="C1090" s="995"/>
      <c r="D1090" s="995"/>
      <c r="E1090" s="995"/>
      <c r="R1090" s="996"/>
      <c r="S1090" s="996"/>
      <c r="T1090" s="996"/>
      <c r="U1090" s="996"/>
      <c r="V1090" s="996"/>
      <c r="W1090" s="996"/>
      <c r="X1090" s="996"/>
      <c r="Y1090" s="996"/>
    </row>
    <row r="1091" spans="1:25" x14ac:dyDescent="0.2">
      <c r="A1091" s="995"/>
      <c r="B1091" s="995"/>
      <c r="C1091" s="995"/>
      <c r="D1091" s="995"/>
      <c r="E1091" s="995"/>
      <c r="R1091" s="996"/>
      <c r="S1091" s="996"/>
      <c r="T1091" s="996"/>
      <c r="U1091" s="996"/>
      <c r="V1091" s="996"/>
      <c r="W1091" s="996"/>
      <c r="X1091" s="996"/>
      <c r="Y1091" s="996"/>
    </row>
    <row r="1092" spans="1:25" x14ac:dyDescent="0.2">
      <c r="A1092" s="995"/>
      <c r="B1092" s="995"/>
      <c r="C1092" s="995"/>
      <c r="D1092" s="995"/>
      <c r="E1092" s="995"/>
      <c r="R1092" s="996"/>
      <c r="S1092" s="996"/>
      <c r="T1092" s="996"/>
      <c r="U1092" s="996"/>
      <c r="V1092" s="996"/>
      <c r="W1092" s="996"/>
      <c r="X1092" s="996"/>
      <c r="Y1092" s="996"/>
    </row>
    <row r="1093" spans="1:25" x14ac:dyDescent="0.2">
      <c r="A1093" s="995"/>
      <c r="B1093" s="995"/>
      <c r="C1093" s="995"/>
      <c r="D1093" s="995"/>
      <c r="E1093" s="995"/>
      <c r="R1093" s="996"/>
      <c r="S1093" s="996"/>
      <c r="T1093" s="996"/>
      <c r="U1093" s="996"/>
      <c r="V1093" s="996"/>
      <c r="W1093" s="996"/>
      <c r="X1093" s="996"/>
      <c r="Y1093" s="996"/>
    </row>
    <row r="1094" spans="1:25" x14ac:dyDescent="0.2">
      <c r="A1094" s="995"/>
      <c r="B1094" s="995"/>
      <c r="C1094" s="995"/>
      <c r="D1094" s="995"/>
      <c r="E1094" s="995"/>
      <c r="R1094" s="996"/>
      <c r="S1094" s="996"/>
      <c r="T1094" s="996"/>
      <c r="U1094" s="996"/>
      <c r="V1094" s="996"/>
      <c r="W1094" s="996"/>
      <c r="X1094" s="996"/>
      <c r="Y1094" s="996"/>
    </row>
    <row r="1095" spans="1:25" x14ac:dyDescent="0.2">
      <c r="A1095" s="995"/>
      <c r="B1095" s="995"/>
      <c r="C1095" s="995"/>
      <c r="D1095" s="995"/>
      <c r="E1095" s="995"/>
      <c r="R1095" s="996"/>
      <c r="S1095" s="996"/>
      <c r="T1095" s="996"/>
      <c r="U1095" s="996"/>
      <c r="V1095" s="996"/>
      <c r="W1095" s="996"/>
      <c r="X1095" s="996"/>
      <c r="Y1095" s="996"/>
    </row>
    <row r="1096" spans="1:25" x14ac:dyDescent="0.2">
      <c r="A1096" s="995"/>
      <c r="B1096" s="995"/>
      <c r="C1096" s="995"/>
      <c r="D1096" s="995"/>
      <c r="E1096" s="995"/>
      <c r="R1096" s="996"/>
      <c r="S1096" s="996"/>
      <c r="T1096" s="996"/>
      <c r="U1096" s="996"/>
      <c r="V1096" s="996"/>
      <c r="W1096" s="996"/>
      <c r="X1096" s="996"/>
      <c r="Y1096" s="996"/>
    </row>
    <row r="1097" spans="1:25" x14ac:dyDescent="0.2">
      <c r="A1097" s="995"/>
      <c r="B1097" s="995"/>
      <c r="C1097" s="995"/>
      <c r="D1097" s="995"/>
      <c r="E1097" s="995"/>
      <c r="R1097" s="996"/>
      <c r="S1097" s="996"/>
      <c r="T1097" s="996"/>
      <c r="U1097" s="996"/>
      <c r="V1097" s="996"/>
      <c r="W1097" s="996"/>
      <c r="X1097" s="996"/>
      <c r="Y1097" s="996"/>
    </row>
    <row r="1098" spans="1:25" x14ac:dyDescent="0.2">
      <c r="A1098" s="995"/>
      <c r="B1098" s="995"/>
      <c r="C1098" s="995"/>
      <c r="D1098" s="995"/>
      <c r="E1098" s="995"/>
      <c r="R1098" s="996"/>
      <c r="S1098" s="996"/>
      <c r="T1098" s="996"/>
      <c r="U1098" s="996"/>
      <c r="V1098" s="996"/>
      <c r="W1098" s="996"/>
      <c r="X1098" s="996"/>
      <c r="Y1098" s="996"/>
    </row>
    <row r="1099" spans="1:25" x14ac:dyDescent="0.2">
      <c r="A1099" s="995"/>
      <c r="B1099" s="995"/>
      <c r="C1099" s="995"/>
      <c r="D1099" s="995"/>
      <c r="E1099" s="995"/>
      <c r="R1099" s="996"/>
      <c r="S1099" s="996"/>
      <c r="T1099" s="996"/>
      <c r="U1099" s="996"/>
      <c r="V1099" s="996"/>
      <c r="W1099" s="996"/>
      <c r="X1099" s="996"/>
      <c r="Y1099" s="996"/>
    </row>
    <row r="1100" spans="1:25" x14ac:dyDescent="0.2">
      <c r="A1100" s="995"/>
      <c r="B1100" s="995"/>
      <c r="C1100" s="995"/>
      <c r="D1100" s="995"/>
      <c r="E1100" s="995"/>
      <c r="R1100" s="996"/>
      <c r="S1100" s="996"/>
      <c r="T1100" s="996"/>
      <c r="U1100" s="996"/>
      <c r="V1100" s="996"/>
      <c r="W1100" s="996"/>
      <c r="X1100" s="996"/>
      <c r="Y1100" s="996"/>
    </row>
    <row r="1101" spans="1:25" x14ac:dyDescent="0.2">
      <c r="A1101" s="995"/>
      <c r="B1101" s="995"/>
      <c r="C1101" s="995"/>
      <c r="D1101" s="995"/>
      <c r="E1101" s="995"/>
      <c r="R1101" s="996"/>
      <c r="S1101" s="996"/>
      <c r="T1101" s="996"/>
      <c r="U1101" s="996"/>
      <c r="V1101" s="996"/>
      <c r="W1101" s="996"/>
      <c r="X1101" s="996"/>
      <c r="Y1101" s="996"/>
    </row>
    <row r="1102" spans="1:25" x14ac:dyDescent="0.2">
      <c r="A1102" s="995"/>
      <c r="B1102" s="995"/>
      <c r="C1102" s="995"/>
      <c r="D1102" s="995"/>
      <c r="E1102" s="995"/>
      <c r="R1102" s="996"/>
      <c r="S1102" s="996"/>
      <c r="T1102" s="996"/>
      <c r="U1102" s="996"/>
      <c r="V1102" s="996"/>
      <c r="W1102" s="996"/>
      <c r="X1102" s="996"/>
      <c r="Y1102" s="996"/>
    </row>
    <row r="1103" spans="1:25" x14ac:dyDescent="0.2">
      <c r="A1103" s="995"/>
      <c r="B1103" s="995"/>
      <c r="C1103" s="995"/>
      <c r="D1103" s="995"/>
      <c r="E1103" s="995"/>
      <c r="R1103" s="996"/>
      <c r="S1103" s="996"/>
      <c r="T1103" s="996"/>
      <c r="U1103" s="996"/>
      <c r="V1103" s="996"/>
      <c r="W1103" s="996"/>
      <c r="X1103" s="996"/>
      <c r="Y1103" s="996"/>
    </row>
    <row r="1104" spans="1:25" x14ac:dyDescent="0.2">
      <c r="A1104" s="995"/>
      <c r="B1104" s="995"/>
      <c r="C1104" s="995"/>
      <c r="D1104" s="995"/>
      <c r="E1104" s="995"/>
      <c r="R1104" s="996"/>
      <c r="S1104" s="996"/>
      <c r="T1104" s="996"/>
      <c r="U1104" s="996"/>
      <c r="V1104" s="996"/>
      <c r="W1104" s="996"/>
      <c r="X1104" s="996"/>
      <c r="Y1104" s="996"/>
    </row>
    <row r="1105" spans="1:25" x14ac:dyDescent="0.2">
      <c r="A1105" s="995"/>
      <c r="B1105" s="995"/>
      <c r="C1105" s="995"/>
      <c r="D1105" s="995"/>
      <c r="E1105" s="995"/>
      <c r="R1105" s="996"/>
      <c r="S1105" s="996"/>
      <c r="T1105" s="996"/>
      <c r="U1105" s="996"/>
      <c r="V1105" s="996"/>
      <c r="W1105" s="996"/>
      <c r="X1105" s="996"/>
      <c r="Y1105" s="996"/>
    </row>
    <row r="1106" spans="1:25" x14ac:dyDescent="0.2">
      <c r="A1106" s="995"/>
      <c r="B1106" s="995"/>
      <c r="C1106" s="995"/>
      <c r="D1106" s="995"/>
      <c r="E1106" s="995"/>
      <c r="R1106" s="996"/>
      <c r="S1106" s="996"/>
      <c r="T1106" s="996"/>
      <c r="U1106" s="996"/>
      <c r="V1106" s="996"/>
      <c r="W1106" s="996"/>
      <c r="X1106" s="996"/>
      <c r="Y1106" s="996"/>
    </row>
    <row r="1107" spans="1:25" x14ac:dyDescent="0.2">
      <c r="A1107" s="995"/>
      <c r="B1107" s="995"/>
      <c r="C1107" s="995"/>
      <c r="D1107" s="995"/>
      <c r="E1107" s="995"/>
      <c r="R1107" s="996"/>
      <c r="S1107" s="996"/>
      <c r="T1107" s="996"/>
      <c r="U1107" s="996"/>
      <c r="V1107" s="996"/>
      <c r="W1107" s="996"/>
      <c r="X1107" s="996"/>
      <c r="Y1107" s="996"/>
    </row>
    <row r="1108" spans="1:25" x14ac:dyDescent="0.2">
      <c r="A1108" s="995"/>
      <c r="B1108" s="995"/>
      <c r="C1108" s="995"/>
      <c r="D1108" s="995"/>
      <c r="E1108" s="995"/>
      <c r="R1108" s="996"/>
      <c r="S1108" s="996"/>
      <c r="T1108" s="996"/>
      <c r="U1108" s="996"/>
      <c r="V1108" s="996"/>
      <c r="W1108" s="996"/>
      <c r="X1108" s="996"/>
      <c r="Y1108" s="996"/>
    </row>
    <row r="1109" spans="1:25" x14ac:dyDescent="0.2">
      <c r="A1109" s="995"/>
      <c r="B1109" s="995"/>
      <c r="C1109" s="995"/>
      <c r="D1109" s="995"/>
      <c r="E1109" s="995"/>
      <c r="R1109" s="996"/>
      <c r="S1109" s="996"/>
      <c r="T1109" s="996"/>
      <c r="U1109" s="996"/>
      <c r="V1109" s="996"/>
      <c r="W1109" s="996"/>
      <c r="X1109" s="996"/>
      <c r="Y1109" s="996"/>
    </row>
    <row r="1110" spans="1:25" x14ac:dyDescent="0.2">
      <c r="A1110" s="995"/>
      <c r="B1110" s="995"/>
      <c r="C1110" s="995"/>
      <c r="D1110" s="995"/>
      <c r="E1110" s="995"/>
      <c r="R1110" s="996"/>
      <c r="S1110" s="996"/>
      <c r="T1110" s="996"/>
      <c r="U1110" s="996"/>
      <c r="V1110" s="996"/>
      <c r="W1110" s="996"/>
      <c r="X1110" s="996"/>
      <c r="Y1110" s="996"/>
    </row>
    <row r="1111" spans="1:25" x14ac:dyDescent="0.2">
      <c r="A1111" s="995"/>
      <c r="B1111" s="995"/>
      <c r="C1111" s="995"/>
      <c r="D1111" s="995"/>
      <c r="E1111" s="995"/>
      <c r="R1111" s="996"/>
      <c r="S1111" s="996"/>
      <c r="T1111" s="996"/>
      <c r="U1111" s="996"/>
      <c r="V1111" s="996"/>
      <c r="W1111" s="996"/>
      <c r="X1111" s="996"/>
      <c r="Y1111" s="996"/>
    </row>
    <row r="1112" spans="1:25" x14ac:dyDescent="0.2">
      <c r="A1112" s="995"/>
      <c r="B1112" s="995"/>
      <c r="C1112" s="995"/>
      <c r="D1112" s="995"/>
      <c r="E1112" s="995"/>
      <c r="R1112" s="996"/>
      <c r="S1112" s="996"/>
      <c r="T1112" s="996"/>
      <c r="U1112" s="996"/>
      <c r="V1112" s="996"/>
      <c r="W1112" s="996"/>
      <c r="X1112" s="996"/>
      <c r="Y1112" s="996"/>
    </row>
    <row r="1113" spans="1:25" x14ac:dyDescent="0.2">
      <c r="A1113" s="995"/>
      <c r="B1113" s="995"/>
      <c r="C1113" s="995"/>
      <c r="D1113" s="995"/>
      <c r="E1113" s="995"/>
      <c r="R1113" s="996"/>
      <c r="S1113" s="996"/>
      <c r="T1113" s="996"/>
      <c r="U1113" s="996"/>
      <c r="V1113" s="996"/>
      <c r="W1113" s="996"/>
      <c r="X1113" s="996"/>
      <c r="Y1113" s="996"/>
    </row>
    <row r="1114" spans="1:25" x14ac:dyDescent="0.2">
      <c r="A1114" s="995"/>
      <c r="B1114" s="995"/>
      <c r="C1114" s="995"/>
      <c r="D1114" s="995"/>
      <c r="E1114" s="995"/>
      <c r="R1114" s="996"/>
      <c r="S1114" s="996"/>
      <c r="T1114" s="996"/>
      <c r="U1114" s="996"/>
      <c r="V1114" s="996"/>
      <c r="W1114" s="996"/>
      <c r="X1114" s="996"/>
      <c r="Y1114" s="996"/>
    </row>
    <row r="1115" spans="1:25" x14ac:dyDescent="0.2">
      <c r="A1115" s="995"/>
      <c r="B1115" s="995"/>
      <c r="C1115" s="995"/>
      <c r="D1115" s="995"/>
      <c r="E1115" s="995"/>
      <c r="R1115" s="996"/>
      <c r="S1115" s="996"/>
      <c r="T1115" s="996"/>
      <c r="U1115" s="996"/>
      <c r="V1115" s="996"/>
      <c r="W1115" s="996"/>
      <c r="X1115" s="996"/>
      <c r="Y1115" s="996"/>
    </row>
    <row r="1116" spans="1:25" x14ac:dyDescent="0.2">
      <c r="A1116" s="995"/>
      <c r="B1116" s="995"/>
      <c r="C1116" s="995"/>
      <c r="D1116" s="995"/>
      <c r="E1116" s="995"/>
      <c r="R1116" s="996"/>
      <c r="S1116" s="996"/>
      <c r="T1116" s="996"/>
      <c r="U1116" s="996"/>
      <c r="V1116" s="996"/>
      <c r="W1116" s="996"/>
      <c r="X1116" s="996"/>
      <c r="Y1116" s="996"/>
    </row>
    <row r="1117" spans="1:25" x14ac:dyDescent="0.2">
      <c r="A1117" s="995"/>
      <c r="B1117" s="995"/>
      <c r="C1117" s="995"/>
      <c r="D1117" s="995"/>
      <c r="E1117" s="995"/>
      <c r="R1117" s="996"/>
      <c r="S1117" s="996"/>
      <c r="T1117" s="996"/>
      <c r="U1117" s="996"/>
      <c r="V1117" s="996"/>
      <c r="W1117" s="996"/>
      <c r="X1117" s="996"/>
      <c r="Y1117" s="996"/>
    </row>
    <row r="1118" spans="1:25" x14ac:dyDescent="0.2">
      <c r="A1118" s="995"/>
      <c r="B1118" s="995"/>
      <c r="C1118" s="995"/>
      <c r="D1118" s="995"/>
      <c r="E1118" s="995"/>
      <c r="R1118" s="996"/>
      <c r="S1118" s="996"/>
      <c r="T1118" s="996"/>
      <c r="U1118" s="996"/>
      <c r="V1118" s="996"/>
      <c r="W1118" s="996"/>
      <c r="X1118" s="996"/>
      <c r="Y1118" s="996"/>
    </row>
    <row r="1119" spans="1:25" x14ac:dyDescent="0.2">
      <c r="A1119" s="995"/>
      <c r="B1119" s="995"/>
      <c r="C1119" s="995"/>
      <c r="D1119" s="995"/>
      <c r="E1119" s="995"/>
      <c r="R1119" s="996"/>
      <c r="S1119" s="996"/>
      <c r="T1119" s="996"/>
      <c r="U1119" s="996"/>
      <c r="V1119" s="996"/>
      <c r="W1119" s="996"/>
      <c r="X1119" s="996"/>
      <c r="Y1119" s="996"/>
    </row>
    <row r="1120" spans="1:25" x14ac:dyDescent="0.2">
      <c r="A1120" s="995"/>
      <c r="B1120" s="995"/>
      <c r="C1120" s="995"/>
      <c r="D1120" s="995"/>
      <c r="E1120" s="995"/>
      <c r="R1120" s="996"/>
      <c r="S1120" s="996"/>
      <c r="T1120" s="996"/>
      <c r="U1120" s="996"/>
      <c r="V1120" s="996"/>
      <c r="W1120" s="996"/>
      <c r="X1120" s="996"/>
      <c r="Y1120" s="996"/>
    </row>
    <row r="1121" spans="1:25" x14ac:dyDescent="0.2">
      <c r="A1121" s="995"/>
      <c r="B1121" s="995"/>
      <c r="C1121" s="995"/>
      <c r="D1121" s="995"/>
      <c r="E1121" s="995"/>
      <c r="R1121" s="996"/>
      <c r="S1121" s="996"/>
      <c r="T1121" s="996"/>
      <c r="U1121" s="996"/>
      <c r="V1121" s="996"/>
      <c r="W1121" s="996"/>
      <c r="X1121" s="996"/>
      <c r="Y1121" s="996"/>
    </row>
    <row r="1122" spans="1:25" x14ac:dyDescent="0.2">
      <c r="A1122" s="995"/>
      <c r="B1122" s="995"/>
      <c r="C1122" s="995"/>
      <c r="D1122" s="995"/>
      <c r="E1122" s="995"/>
      <c r="R1122" s="996"/>
      <c r="S1122" s="996"/>
      <c r="T1122" s="996"/>
      <c r="U1122" s="996"/>
      <c r="V1122" s="996"/>
      <c r="W1122" s="996"/>
      <c r="X1122" s="996"/>
      <c r="Y1122" s="996"/>
    </row>
    <row r="1123" spans="1:25" x14ac:dyDescent="0.2">
      <c r="A1123" s="995"/>
      <c r="B1123" s="995"/>
      <c r="C1123" s="995"/>
      <c r="D1123" s="995"/>
      <c r="E1123" s="995"/>
      <c r="R1123" s="996"/>
      <c r="S1123" s="996"/>
      <c r="T1123" s="996"/>
      <c r="U1123" s="996"/>
      <c r="V1123" s="996"/>
      <c r="W1123" s="996"/>
      <c r="X1123" s="996"/>
      <c r="Y1123" s="996"/>
    </row>
    <row r="1124" spans="1:25" x14ac:dyDescent="0.2">
      <c r="A1124" s="995"/>
      <c r="B1124" s="995"/>
      <c r="C1124" s="995"/>
      <c r="D1124" s="995"/>
      <c r="E1124" s="995"/>
      <c r="R1124" s="996"/>
      <c r="S1124" s="996"/>
      <c r="T1124" s="996"/>
      <c r="U1124" s="996"/>
      <c r="V1124" s="996"/>
      <c r="W1124" s="996"/>
      <c r="X1124" s="996"/>
      <c r="Y1124" s="996"/>
    </row>
    <row r="1125" spans="1:25" x14ac:dyDescent="0.2">
      <c r="A1125" s="995"/>
      <c r="B1125" s="995"/>
      <c r="C1125" s="995"/>
      <c r="D1125" s="995"/>
      <c r="E1125" s="995"/>
      <c r="R1125" s="996"/>
      <c r="S1125" s="996"/>
      <c r="T1125" s="996"/>
      <c r="U1125" s="996"/>
      <c r="V1125" s="996"/>
      <c r="W1125" s="996"/>
      <c r="X1125" s="996"/>
      <c r="Y1125" s="996"/>
    </row>
    <row r="1126" spans="1:25" x14ac:dyDescent="0.2">
      <c r="A1126" s="995"/>
      <c r="B1126" s="995"/>
      <c r="C1126" s="995"/>
      <c r="D1126" s="995"/>
      <c r="E1126" s="995"/>
      <c r="R1126" s="996"/>
      <c r="S1126" s="996"/>
      <c r="T1126" s="996"/>
      <c r="U1126" s="996"/>
      <c r="V1126" s="996"/>
      <c r="W1126" s="996"/>
      <c r="X1126" s="996"/>
      <c r="Y1126" s="996"/>
    </row>
    <row r="1127" spans="1:25" x14ac:dyDescent="0.2">
      <c r="A1127" s="995"/>
      <c r="B1127" s="995"/>
      <c r="C1127" s="995"/>
      <c r="D1127" s="995"/>
      <c r="E1127" s="995"/>
      <c r="R1127" s="996"/>
      <c r="S1127" s="996"/>
      <c r="T1127" s="996"/>
      <c r="U1127" s="996"/>
      <c r="V1127" s="996"/>
      <c r="W1127" s="996"/>
      <c r="X1127" s="996"/>
      <c r="Y1127" s="996"/>
    </row>
    <row r="1128" spans="1:25" x14ac:dyDescent="0.2">
      <c r="A1128" s="995"/>
      <c r="B1128" s="995"/>
      <c r="C1128" s="995"/>
      <c r="D1128" s="995"/>
      <c r="E1128" s="995"/>
      <c r="R1128" s="996"/>
      <c r="S1128" s="996"/>
      <c r="T1128" s="996"/>
      <c r="U1128" s="996"/>
      <c r="V1128" s="996"/>
      <c r="W1128" s="996"/>
      <c r="X1128" s="996"/>
      <c r="Y1128" s="996"/>
    </row>
    <row r="1129" spans="1:25" x14ac:dyDescent="0.2">
      <c r="A1129" s="995"/>
      <c r="B1129" s="995"/>
      <c r="C1129" s="995"/>
      <c r="D1129" s="995"/>
      <c r="E1129" s="995"/>
      <c r="R1129" s="996"/>
      <c r="S1129" s="996"/>
      <c r="T1129" s="996"/>
      <c r="U1129" s="996"/>
      <c r="V1129" s="996"/>
      <c r="W1129" s="996"/>
      <c r="X1129" s="996"/>
      <c r="Y1129" s="996"/>
    </row>
    <row r="1130" spans="1:25" x14ac:dyDescent="0.2">
      <c r="A1130" s="995"/>
      <c r="B1130" s="995"/>
      <c r="C1130" s="995"/>
      <c r="D1130" s="995"/>
      <c r="E1130" s="995"/>
      <c r="R1130" s="996"/>
      <c r="S1130" s="996"/>
      <c r="T1130" s="996"/>
      <c r="U1130" s="996"/>
      <c r="V1130" s="996"/>
      <c r="W1130" s="996"/>
      <c r="X1130" s="996"/>
      <c r="Y1130" s="996"/>
    </row>
    <row r="1131" spans="1:25" x14ac:dyDescent="0.2">
      <c r="A1131" s="995"/>
      <c r="B1131" s="995"/>
      <c r="C1131" s="995"/>
      <c r="D1131" s="995"/>
      <c r="E1131" s="995"/>
      <c r="R1131" s="996"/>
      <c r="S1131" s="996"/>
      <c r="T1131" s="996"/>
      <c r="U1131" s="996"/>
      <c r="V1131" s="996"/>
      <c r="W1131" s="996"/>
      <c r="X1131" s="996"/>
      <c r="Y1131" s="996"/>
    </row>
    <row r="1132" spans="1:25" x14ac:dyDescent="0.2">
      <c r="A1132" s="995"/>
      <c r="B1132" s="995"/>
      <c r="C1132" s="995"/>
      <c r="D1132" s="995"/>
      <c r="E1132" s="995"/>
      <c r="R1132" s="996"/>
      <c r="S1132" s="996"/>
      <c r="T1132" s="996"/>
      <c r="U1132" s="996"/>
      <c r="V1132" s="996"/>
      <c r="W1132" s="996"/>
      <c r="X1132" s="996"/>
      <c r="Y1132" s="996"/>
    </row>
    <row r="1133" spans="1:25" x14ac:dyDescent="0.2">
      <c r="A1133" s="995"/>
      <c r="B1133" s="995"/>
      <c r="C1133" s="995"/>
      <c r="D1133" s="995"/>
      <c r="E1133" s="995"/>
      <c r="R1133" s="996"/>
      <c r="S1133" s="996"/>
      <c r="T1133" s="996"/>
      <c r="U1133" s="996"/>
      <c r="V1133" s="996"/>
      <c r="W1133" s="996"/>
      <c r="X1133" s="996"/>
      <c r="Y1133" s="996"/>
    </row>
    <row r="1134" spans="1:25" x14ac:dyDescent="0.2">
      <c r="A1134" s="995"/>
      <c r="B1134" s="995"/>
      <c r="C1134" s="995"/>
      <c r="D1134" s="995"/>
      <c r="E1134" s="995"/>
      <c r="R1134" s="996"/>
      <c r="S1134" s="996"/>
      <c r="T1134" s="996"/>
      <c r="U1134" s="996"/>
      <c r="V1134" s="996"/>
      <c r="W1134" s="996"/>
      <c r="X1134" s="996"/>
      <c r="Y1134" s="996"/>
    </row>
    <row r="1135" spans="1:25" x14ac:dyDescent="0.2">
      <c r="A1135" s="995"/>
      <c r="B1135" s="995"/>
      <c r="C1135" s="995"/>
      <c r="D1135" s="995"/>
      <c r="E1135" s="995"/>
      <c r="R1135" s="996"/>
      <c r="S1135" s="996"/>
      <c r="T1135" s="996"/>
      <c r="U1135" s="996"/>
      <c r="V1135" s="996"/>
      <c r="W1135" s="996"/>
      <c r="X1135" s="996"/>
      <c r="Y1135" s="996"/>
    </row>
    <row r="1136" spans="1:25" x14ac:dyDescent="0.2">
      <c r="A1136" s="995"/>
      <c r="B1136" s="995"/>
      <c r="C1136" s="995"/>
      <c r="D1136" s="995"/>
      <c r="E1136" s="995"/>
      <c r="R1136" s="996"/>
      <c r="S1136" s="996"/>
      <c r="T1136" s="996"/>
      <c r="U1136" s="996"/>
      <c r="V1136" s="996"/>
      <c r="W1136" s="996"/>
      <c r="X1136" s="996"/>
      <c r="Y1136" s="996"/>
    </row>
    <row r="1137" spans="1:25" x14ac:dyDescent="0.2">
      <c r="A1137" s="995"/>
      <c r="B1137" s="995"/>
      <c r="C1137" s="995"/>
      <c r="D1137" s="995"/>
      <c r="E1137" s="995"/>
      <c r="R1137" s="996"/>
      <c r="S1137" s="996"/>
      <c r="T1137" s="996"/>
      <c r="U1137" s="996"/>
      <c r="V1137" s="996"/>
      <c r="W1137" s="996"/>
      <c r="X1137" s="996"/>
      <c r="Y1137" s="996"/>
    </row>
    <row r="1138" spans="1:25" x14ac:dyDescent="0.2">
      <c r="A1138" s="995"/>
      <c r="B1138" s="995"/>
      <c r="C1138" s="995"/>
      <c r="D1138" s="995"/>
      <c r="E1138" s="995"/>
      <c r="R1138" s="996"/>
      <c r="S1138" s="996"/>
      <c r="T1138" s="996"/>
      <c r="U1138" s="996"/>
      <c r="V1138" s="996"/>
      <c r="W1138" s="996"/>
      <c r="X1138" s="996"/>
      <c r="Y1138" s="996"/>
    </row>
    <row r="1139" spans="1:25" x14ac:dyDescent="0.2">
      <c r="A1139" s="995"/>
      <c r="B1139" s="995"/>
      <c r="C1139" s="995"/>
      <c r="D1139" s="995"/>
      <c r="E1139" s="995"/>
      <c r="R1139" s="996"/>
      <c r="S1139" s="996"/>
      <c r="T1139" s="996"/>
      <c r="U1139" s="996"/>
      <c r="V1139" s="996"/>
      <c r="W1139" s="996"/>
      <c r="X1139" s="996"/>
      <c r="Y1139" s="996"/>
    </row>
    <row r="1140" spans="1:25" x14ac:dyDescent="0.2">
      <c r="A1140" s="995"/>
      <c r="B1140" s="995"/>
      <c r="C1140" s="995"/>
      <c r="D1140" s="995"/>
      <c r="E1140" s="995"/>
      <c r="R1140" s="996"/>
      <c r="S1140" s="996"/>
      <c r="T1140" s="996"/>
      <c r="U1140" s="996"/>
      <c r="V1140" s="996"/>
      <c r="W1140" s="996"/>
      <c r="X1140" s="996"/>
      <c r="Y1140" s="996"/>
    </row>
    <row r="1141" spans="1:25" x14ac:dyDescent="0.2">
      <c r="A1141" s="995"/>
      <c r="B1141" s="995"/>
      <c r="C1141" s="995"/>
      <c r="D1141" s="995"/>
      <c r="E1141" s="995"/>
      <c r="R1141" s="996"/>
      <c r="S1141" s="996"/>
      <c r="T1141" s="996"/>
      <c r="U1141" s="996"/>
      <c r="V1141" s="996"/>
      <c r="W1141" s="996"/>
      <c r="X1141" s="996"/>
      <c r="Y1141" s="996"/>
    </row>
    <row r="1142" spans="1:25" x14ac:dyDescent="0.2">
      <c r="A1142" s="995"/>
      <c r="B1142" s="995"/>
      <c r="C1142" s="995"/>
      <c r="D1142" s="995"/>
      <c r="E1142" s="995"/>
      <c r="R1142" s="996"/>
      <c r="S1142" s="996"/>
      <c r="T1142" s="996"/>
      <c r="U1142" s="996"/>
      <c r="V1142" s="996"/>
      <c r="W1142" s="996"/>
      <c r="X1142" s="996"/>
      <c r="Y1142" s="996"/>
    </row>
    <row r="1143" spans="1:25" x14ac:dyDescent="0.2">
      <c r="A1143" s="995"/>
      <c r="B1143" s="995"/>
      <c r="C1143" s="995"/>
      <c r="D1143" s="995"/>
      <c r="E1143" s="995"/>
      <c r="R1143" s="996"/>
      <c r="S1143" s="996"/>
      <c r="T1143" s="996"/>
      <c r="U1143" s="996"/>
      <c r="V1143" s="996"/>
      <c r="W1143" s="996"/>
      <c r="X1143" s="996"/>
      <c r="Y1143" s="996"/>
    </row>
    <row r="1144" spans="1:25" x14ac:dyDescent="0.2">
      <c r="A1144" s="995"/>
      <c r="B1144" s="995"/>
      <c r="C1144" s="995"/>
      <c r="D1144" s="995"/>
      <c r="E1144" s="995"/>
      <c r="R1144" s="996"/>
      <c r="S1144" s="996"/>
      <c r="T1144" s="996"/>
      <c r="U1144" s="996"/>
      <c r="V1144" s="996"/>
      <c r="W1144" s="996"/>
      <c r="X1144" s="996"/>
      <c r="Y1144" s="996"/>
    </row>
    <row r="1145" spans="1:25" x14ac:dyDescent="0.2">
      <c r="A1145" s="995"/>
      <c r="B1145" s="995"/>
      <c r="C1145" s="995"/>
      <c r="D1145" s="995"/>
      <c r="E1145" s="995"/>
      <c r="R1145" s="996"/>
      <c r="S1145" s="996"/>
      <c r="T1145" s="996"/>
      <c r="U1145" s="996"/>
      <c r="V1145" s="996"/>
      <c r="W1145" s="996"/>
      <c r="X1145" s="996"/>
      <c r="Y1145" s="996"/>
    </row>
    <row r="1146" spans="1:25" x14ac:dyDescent="0.2">
      <c r="A1146" s="995"/>
      <c r="B1146" s="995"/>
      <c r="C1146" s="995"/>
      <c r="D1146" s="995"/>
      <c r="E1146" s="995"/>
      <c r="R1146" s="996"/>
      <c r="S1146" s="996"/>
      <c r="T1146" s="996"/>
      <c r="U1146" s="996"/>
      <c r="V1146" s="996"/>
      <c r="W1146" s="996"/>
      <c r="X1146" s="996"/>
      <c r="Y1146" s="996"/>
    </row>
    <row r="1147" spans="1:25" x14ac:dyDescent="0.2">
      <c r="A1147" s="995"/>
      <c r="B1147" s="995"/>
      <c r="C1147" s="995"/>
      <c r="D1147" s="995"/>
      <c r="E1147" s="995"/>
      <c r="R1147" s="996"/>
      <c r="S1147" s="996"/>
      <c r="T1147" s="996"/>
      <c r="U1147" s="996"/>
      <c r="V1147" s="996"/>
      <c r="W1147" s="996"/>
      <c r="X1147" s="996"/>
      <c r="Y1147" s="996"/>
    </row>
    <row r="1148" spans="1:25" x14ac:dyDescent="0.2">
      <c r="A1148" s="995"/>
      <c r="B1148" s="995"/>
      <c r="C1148" s="995"/>
      <c r="D1148" s="995"/>
      <c r="E1148" s="995"/>
      <c r="R1148" s="996"/>
      <c r="S1148" s="996"/>
      <c r="T1148" s="996"/>
      <c r="U1148" s="996"/>
      <c r="V1148" s="996"/>
      <c r="W1148" s="996"/>
      <c r="X1148" s="996"/>
      <c r="Y1148" s="996"/>
    </row>
    <row r="1149" spans="1:25" x14ac:dyDescent="0.2">
      <c r="A1149" s="995"/>
      <c r="B1149" s="995"/>
      <c r="C1149" s="995"/>
      <c r="D1149" s="995"/>
      <c r="E1149" s="995"/>
      <c r="R1149" s="996"/>
      <c r="S1149" s="996"/>
      <c r="T1149" s="996"/>
      <c r="U1149" s="996"/>
      <c r="V1149" s="996"/>
      <c r="W1149" s="996"/>
      <c r="X1149" s="996"/>
      <c r="Y1149" s="996"/>
    </row>
    <row r="1150" spans="1:25" x14ac:dyDescent="0.2">
      <c r="A1150" s="995"/>
      <c r="B1150" s="995"/>
      <c r="C1150" s="995"/>
      <c r="D1150" s="995"/>
      <c r="E1150" s="995"/>
      <c r="R1150" s="996"/>
      <c r="S1150" s="996"/>
      <c r="T1150" s="996"/>
      <c r="U1150" s="996"/>
      <c r="V1150" s="996"/>
      <c r="W1150" s="996"/>
      <c r="X1150" s="996"/>
      <c r="Y1150" s="996"/>
    </row>
    <row r="1151" spans="1:25" x14ac:dyDescent="0.2">
      <c r="A1151" s="995"/>
      <c r="B1151" s="995"/>
      <c r="C1151" s="995"/>
      <c r="D1151" s="995"/>
      <c r="E1151" s="995"/>
      <c r="R1151" s="996"/>
      <c r="S1151" s="996"/>
      <c r="T1151" s="996"/>
      <c r="U1151" s="996"/>
      <c r="V1151" s="996"/>
      <c r="W1151" s="996"/>
      <c r="X1151" s="996"/>
      <c r="Y1151" s="996"/>
    </row>
    <row r="1152" spans="1:25" x14ac:dyDescent="0.2">
      <c r="A1152" s="995"/>
      <c r="B1152" s="995"/>
      <c r="C1152" s="995"/>
      <c r="D1152" s="995"/>
      <c r="E1152" s="995"/>
      <c r="R1152" s="996"/>
      <c r="S1152" s="996"/>
      <c r="T1152" s="996"/>
      <c r="U1152" s="996"/>
      <c r="V1152" s="996"/>
      <c r="W1152" s="996"/>
      <c r="X1152" s="996"/>
      <c r="Y1152" s="996"/>
    </row>
    <row r="1153" spans="1:25" x14ac:dyDescent="0.2">
      <c r="A1153" s="995"/>
      <c r="B1153" s="995"/>
      <c r="C1153" s="995"/>
      <c r="D1153" s="995"/>
      <c r="E1153" s="995"/>
      <c r="R1153" s="996"/>
      <c r="S1153" s="996"/>
      <c r="T1153" s="996"/>
      <c r="U1153" s="996"/>
      <c r="V1153" s="996"/>
      <c r="W1153" s="996"/>
      <c r="X1153" s="996"/>
      <c r="Y1153" s="996"/>
    </row>
    <row r="1154" spans="1:25" x14ac:dyDescent="0.2">
      <c r="A1154" s="995"/>
      <c r="B1154" s="995"/>
      <c r="C1154" s="995"/>
      <c r="D1154" s="995"/>
      <c r="E1154" s="995"/>
      <c r="R1154" s="996"/>
      <c r="S1154" s="996"/>
      <c r="T1154" s="996"/>
      <c r="U1154" s="996"/>
      <c r="V1154" s="996"/>
      <c r="W1154" s="996"/>
      <c r="X1154" s="996"/>
      <c r="Y1154" s="996"/>
    </row>
    <row r="1155" spans="1:25" x14ac:dyDescent="0.2">
      <c r="A1155" s="995"/>
      <c r="B1155" s="995"/>
      <c r="C1155" s="995"/>
      <c r="D1155" s="995"/>
      <c r="E1155" s="995"/>
      <c r="R1155" s="996"/>
      <c r="S1155" s="996"/>
      <c r="T1155" s="996"/>
      <c r="U1155" s="996"/>
      <c r="V1155" s="996"/>
      <c r="W1155" s="996"/>
      <c r="X1155" s="996"/>
      <c r="Y1155" s="996"/>
    </row>
    <row r="1156" spans="1:25" x14ac:dyDescent="0.2">
      <c r="A1156" s="995"/>
      <c r="B1156" s="995"/>
      <c r="C1156" s="995"/>
      <c r="D1156" s="995"/>
      <c r="E1156" s="995"/>
      <c r="R1156" s="996"/>
      <c r="S1156" s="996"/>
      <c r="T1156" s="996"/>
      <c r="U1156" s="996"/>
      <c r="V1156" s="996"/>
      <c r="W1156" s="996"/>
      <c r="X1156" s="996"/>
      <c r="Y1156" s="996"/>
    </row>
    <row r="1157" spans="1:25" x14ac:dyDescent="0.2">
      <c r="A1157" s="995"/>
      <c r="B1157" s="995"/>
      <c r="C1157" s="995"/>
      <c r="D1157" s="995"/>
      <c r="E1157" s="995"/>
      <c r="R1157" s="996"/>
      <c r="S1157" s="996"/>
      <c r="T1157" s="996"/>
      <c r="U1157" s="996"/>
      <c r="V1157" s="996"/>
      <c r="W1157" s="996"/>
      <c r="X1157" s="996"/>
      <c r="Y1157" s="996"/>
    </row>
    <row r="1158" spans="1:25" x14ac:dyDescent="0.2">
      <c r="A1158" s="995"/>
      <c r="B1158" s="995"/>
      <c r="C1158" s="995"/>
      <c r="D1158" s="995"/>
      <c r="E1158" s="995"/>
      <c r="R1158" s="996"/>
      <c r="S1158" s="996"/>
      <c r="T1158" s="996"/>
      <c r="U1158" s="996"/>
      <c r="V1158" s="996"/>
      <c r="W1158" s="996"/>
      <c r="X1158" s="996"/>
      <c r="Y1158" s="996"/>
    </row>
    <row r="1159" spans="1:25" x14ac:dyDescent="0.2">
      <c r="A1159" s="995"/>
      <c r="B1159" s="995"/>
      <c r="C1159" s="995"/>
      <c r="D1159" s="995"/>
      <c r="E1159" s="995"/>
      <c r="R1159" s="996"/>
      <c r="S1159" s="996"/>
      <c r="T1159" s="996"/>
      <c r="U1159" s="996"/>
      <c r="V1159" s="996"/>
      <c r="W1159" s="996"/>
      <c r="X1159" s="996"/>
      <c r="Y1159" s="996"/>
    </row>
    <row r="1160" spans="1:25" x14ac:dyDescent="0.2">
      <c r="A1160" s="995"/>
      <c r="B1160" s="995"/>
      <c r="C1160" s="995"/>
      <c r="D1160" s="995"/>
      <c r="E1160" s="995"/>
      <c r="R1160" s="996"/>
      <c r="S1160" s="996"/>
      <c r="T1160" s="996"/>
      <c r="U1160" s="996"/>
      <c r="V1160" s="996"/>
      <c r="W1160" s="996"/>
      <c r="X1160" s="996"/>
      <c r="Y1160" s="996"/>
    </row>
    <row r="1161" spans="1:25" x14ac:dyDescent="0.2">
      <c r="A1161" s="995"/>
      <c r="B1161" s="995"/>
      <c r="C1161" s="995"/>
      <c r="D1161" s="995"/>
      <c r="E1161" s="995"/>
      <c r="R1161" s="996"/>
      <c r="S1161" s="996"/>
      <c r="T1161" s="996"/>
      <c r="U1161" s="996"/>
      <c r="V1161" s="996"/>
      <c r="W1161" s="996"/>
      <c r="X1161" s="996"/>
      <c r="Y1161" s="996"/>
    </row>
    <row r="1162" spans="1:25" x14ac:dyDescent="0.2">
      <c r="A1162" s="995"/>
      <c r="B1162" s="995"/>
      <c r="C1162" s="995"/>
      <c r="D1162" s="995"/>
      <c r="E1162" s="995"/>
      <c r="R1162" s="996"/>
      <c r="S1162" s="996"/>
      <c r="T1162" s="996"/>
      <c r="U1162" s="996"/>
      <c r="V1162" s="996"/>
      <c r="W1162" s="996"/>
      <c r="X1162" s="996"/>
      <c r="Y1162" s="996"/>
    </row>
    <row r="1163" spans="1:25" x14ac:dyDescent="0.2">
      <c r="A1163" s="995"/>
      <c r="B1163" s="995"/>
      <c r="C1163" s="995"/>
      <c r="D1163" s="995"/>
      <c r="E1163" s="995"/>
      <c r="R1163" s="996"/>
      <c r="S1163" s="996"/>
      <c r="T1163" s="996"/>
      <c r="U1163" s="996"/>
      <c r="V1163" s="996"/>
      <c r="W1163" s="996"/>
      <c r="X1163" s="996"/>
      <c r="Y1163" s="996"/>
    </row>
    <row r="1164" spans="1:25" x14ac:dyDescent="0.2">
      <c r="A1164" s="995"/>
      <c r="B1164" s="995"/>
      <c r="C1164" s="995"/>
      <c r="D1164" s="995"/>
      <c r="E1164" s="995"/>
      <c r="R1164" s="996"/>
      <c r="S1164" s="996"/>
      <c r="T1164" s="996"/>
      <c r="U1164" s="996"/>
      <c r="V1164" s="996"/>
      <c r="W1164" s="996"/>
      <c r="X1164" s="996"/>
      <c r="Y1164" s="996"/>
    </row>
    <row r="1165" spans="1:25" x14ac:dyDescent="0.2">
      <c r="A1165" s="995"/>
      <c r="B1165" s="995"/>
      <c r="C1165" s="995"/>
      <c r="D1165" s="995"/>
      <c r="E1165" s="995"/>
      <c r="R1165" s="996"/>
      <c r="S1165" s="996"/>
      <c r="T1165" s="996"/>
      <c r="U1165" s="996"/>
      <c r="V1165" s="996"/>
      <c r="W1165" s="996"/>
      <c r="X1165" s="996"/>
      <c r="Y1165" s="996"/>
    </row>
    <row r="1166" spans="1:25" x14ac:dyDescent="0.2">
      <c r="A1166" s="995"/>
      <c r="B1166" s="995"/>
      <c r="C1166" s="995"/>
      <c r="D1166" s="995"/>
      <c r="E1166" s="995"/>
      <c r="R1166" s="996"/>
      <c r="S1166" s="996"/>
      <c r="T1166" s="996"/>
      <c r="U1166" s="996"/>
      <c r="V1166" s="996"/>
      <c r="W1166" s="996"/>
      <c r="X1166" s="996"/>
      <c r="Y1166" s="996"/>
    </row>
    <row r="1167" spans="1:25" x14ac:dyDescent="0.2">
      <c r="A1167" s="995"/>
      <c r="B1167" s="995"/>
      <c r="C1167" s="995"/>
      <c r="D1167" s="995"/>
      <c r="E1167" s="995"/>
      <c r="R1167" s="996"/>
      <c r="S1167" s="996"/>
      <c r="T1167" s="996"/>
      <c r="U1167" s="996"/>
      <c r="V1167" s="996"/>
      <c r="W1167" s="996"/>
      <c r="X1167" s="996"/>
      <c r="Y1167" s="996"/>
    </row>
    <row r="1168" spans="1:25" x14ac:dyDescent="0.2">
      <c r="A1168" s="995"/>
      <c r="B1168" s="995"/>
      <c r="C1168" s="995"/>
      <c r="D1168" s="995"/>
      <c r="E1168" s="995"/>
      <c r="R1168" s="996"/>
      <c r="S1168" s="996"/>
      <c r="T1168" s="996"/>
      <c r="U1168" s="996"/>
      <c r="V1168" s="996"/>
      <c r="W1168" s="996"/>
      <c r="X1168" s="996"/>
      <c r="Y1168" s="996"/>
    </row>
    <row r="1169" spans="1:25" x14ac:dyDescent="0.2">
      <c r="A1169" s="995"/>
      <c r="B1169" s="995"/>
      <c r="C1169" s="995"/>
      <c r="D1169" s="995"/>
      <c r="E1169" s="995"/>
      <c r="R1169" s="996"/>
      <c r="S1169" s="996"/>
      <c r="T1169" s="996"/>
      <c r="U1169" s="996"/>
      <c r="V1169" s="996"/>
      <c r="W1169" s="996"/>
      <c r="X1169" s="996"/>
      <c r="Y1169" s="996"/>
    </row>
    <row r="1170" spans="1:25" x14ac:dyDescent="0.2">
      <c r="A1170" s="995"/>
      <c r="B1170" s="995"/>
      <c r="C1170" s="995"/>
      <c r="D1170" s="995"/>
      <c r="E1170" s="995"/>
      <c r="R1170" s="996"/>
      <c r="S1170" s="996"/>
      <c r="T1170" s="996"/>
      <c r="U1170" s="996"/>
      <c r="V1170" s="996"/>
      <c r="W1170" s="996"/>
      <c r="X1170" s="996"/>
      <c r="Y1170" s="996"/>
    </row>
    <row r="1171" spans="1:25" x14ac:dyDescent="0.2">
      <c r="A1171" s="995"/>
      <c r="B1171" s="995"/>
      <c r="C1171" s="995"/>
      <c r="D1171" s="995"/>
      <c r="E1171" s="995"/>
      <c r="R1171" s="996"/>
      <c r="S1171" s="996"/>
      <c r="T1171" s="996"/>
      <c r="U1171" s="996"/>
      <c r="V1171" s="996"/>
      <c r="W1171" s="996"/>
      <c r="X1171" s="996"/>
      <c r="Y1171" s="996"/>
    </row>
    <row r="1172" spans="1:25" x14ac:dyDescent="0.2">
      <c r="A1172" s="995"/>
      <c r="B1172" s="995"/>
      <c r="C1172" s="995"/>
      <c r="D1172" s="995"/>
      <c r="E1172" s="995"/>
      <c r="R1172" s="996"/>
      <c r="S1172" s="996"/>
      <c r="T1172" s="996"/>
      <c r="U1172" s="996"/>
      <c r="V1172" s="996"/>
      <c r="W1172" s="996"/>
      <c r="X1172" s="996"/>
      <c r="Y1172" s="996"/>
    </row>
    <row r="1173" spans="1:25" x14ac:dyDescent="0.2">
      <c r="A1173" s="995"/>
      <c r="B1173" s="995"/>
      <c r="C1173" s="995"/>
      <c r="D1173" s="995"/>
      <c r="E1173" s="995"/>
      <c r="R1173" s="996"/>
      <c r="S1173" s="996"/>
      <c r="T1173" s="996"/>
      <c r="U1173" s="996"/>
      <c r="V1173" s="996"/>
      <c r="W1173" s="996"/>
      <c r="X1173" s="996"/>
      <c r="Y1173" s="996"/>
    </row>
    <row r="1174" spans="1:25" x14ac:dyDescent="0.2">
      <c r="A1174" s="995"/>
      <c r="B1174" s="995"/>
      <c r="C1174" s="995"/>
      <c r="D1174" s="995"/>
      <c r="E1174" s="995"/>
      <c r="R1174" s="996"/>
      <c r="S1174" s="996"/>
      <c r="T1174" s="996"/>
      <c r="U1174" s="996"/>
      <c r="V1174" s="996"/>
      <c r="W1174" s="996"/>
      <c r="X1174" s="996"/>
      <c r="Y1174" s="996"/>
    </row>
    <row r="1175" spans="1:25" x14ac:dyDescent="0.2">
      <c r="A1175" s="995"/>
      <c r="B1175" s="995"/>
      <c r="C1175" s="995"/>
      <c r="D1175" s="995"/>
      <c r="E1175" s="995"/>
      <c r="R1175" s="996"/>
      <c r="S1175" s="996"/>
      <c r="T1175" s="996"/>
      <c r="U1175" s="996"/>
      <c r="V1175" s="996"/>
      <c r="W1175" s="996"/>
      <c r="X1175" s="996"/>
      <c r="Y1175" s="996"/>
    </row>
    <row r="1176" spans="1:25" x14ac:dyDescent="0.2">
      <c r="A1176" s="995"/>
      <c r="B1176" s="995"/>
      <c r="C1176" s="995"/>
      <c r="D1176" s="995"/>
      <c r="E1176" s="995"/>
      <c r="R1176" s="996"/>
      <c r="S1176" s="996"/>
      <c r="T1176" s="996"/>
      <c r="U1176" s="996"/>
      <c r="V1176" s="996"/>
      <c r="W1176" s="996"/>
      <c r="X1176" s="996"/>
      <c r="Y1176" s="996"/>
    </row>
    <row r="1177" spans="1:25" x14ac:dyDescent="0.2">
      <c r="A1177" s="995"/>
      <c r="B1177" s="995"/>
      <c r="C1177" s="995"/>
      <c r="D1177" s="995"/>
      <c r="E1177" s="995"/>
      <c r="R1177" s="996"/>
      <c r="S1177" s="996"/>
      <c r="T1177" s="996"/>
      <c r="U1177" s="996"/>
      <c r="V1177" s="996"/>
      <c r="W1177" s="996"/>
      <c r="X1177" s="996"/>
      <c r="Y1177" s="996"/>
    </row>
    <row r="1178" spans="1:25" x14ac:dyDescent="0.2">
      <c r="A1178" s="995"/>
      <c r="B1178" s="995"/>
      <c r="C1178" s="995"/>
      <c r="D1178" s="995"/>
      <c r="E1178" s="995"/>
      <c r="R1178" s="996"/>
      <c r="S1178" s="996"/>
      <c r="T1178" s="996"/>
      <c r="U1178" s="996"/>
      <c r="V1178" s="996"/>
      <c r="W1178" s="996"/>
      <c r="X1178" s="996"/>
      <c r="Y1178" s="996"/>
    </row>
    <row r="1179" spans="1:25" x14ac:dyDescent="0.2">
      <c r="A1179" s="995"/>
      <c r="B1179" s="995"/>
      <c r="C1179" s="995"/>
      <c r="D1179" s="995"/>
      <c r="E1179" s="995"/>
      <c r="R1179" s="996"/>
      <c r="S1179" s="996"/>
      <c r="T1179" s="996"/>
      <c r="U1179" s="996"/>
      <c r="V1179" s="996"/>
      <c r="W1179" s="996"/>
      <c r="X1179" s="996"/>
      <c r="Y1179" s="996"/>
    </row>
    <row r="1180" spans="1:25" x14ac:dyDescent="0.2">
      <c r="A1180" s="995"/>
      <c r="B1180" s="995"/>
      <c r="C1180" s="995"/>
      <c r="D1180" s="995"/>
      <c r="E1180" s="995"/>
      <c r="R1180" s="996"/>
      <c r="S1180" s="996"/>
      <c r="T1180" s="996"/>
      <c r="U1180" s="996"/>
      <c r="V1180" s="996"/>
      <c r="W1180" s="996"/>
      <c r="X1180" s="996"/>
      <c r="Y1180" s="996"/>
    </row>
    <row r="1181" spans="1:25" x14ac:dyDescent="0.2">
      <c r="A1181" s="995"/>
      <c r="B1181" s="995"/>
      <c r="C1181" s="995"/>
      <c r="D1181" s="995"/>
      <c r="E1181" s="995"/>
      <c r="R1181" s="996"/>
      <c r="S1181" s="996"/>
      <c r="T1181" s="996"/>
      <c r="U1181" s="996"/>
      <c r="V1181" s="996"/>
      <c r="W1181" s="996"/>
      <c r="X1181" s="996"/>
      <c r="Y1181" s="996"/>
    </row>
    <row r="1182" spans="1:25" x14ac:dyDescent="0.2">
      <c r="A1182" s="995"/>
      <c r="B1182" s="995"/>
      <c r="C1182" s="995"/>
      <c r="D1182" s="995"/>
      <c r="E1182" s="995"/>
      <c r="R1182" s="996"/>
      <c r="S1182" s="996"/>
      <c r="T1182" s="996"/>
      <c r="U1182" s="996"/>
      <c r="V1182" s="996"/>
      <c r="W1182" s="996"/>
      <c r="X1182" s="996"/>
      <c r="Y1182" s="996"/>
    </row>
    <row r="1183" spans="1:25" x14ac:dyDescent="0.2">
      <c r="A1183" s="995"/>
      <c r="B1183" s="995"/>
      <c r="C1183" s="995"/>
      <c r="D1183" s="995"/>
      <c r="E1183" s="995"/>
      <c r="R1183" s="996"/>
      <c r="S1183" s="996"/>
      <c r="T1183" s="996"/>
      <c r="U1183" s="996"/>
      <c r="V1183" s="996"/>
      <c r="W1183" s="996"/>
      <c r="X1183" s="996"/>
      <c r="Y1183" s="996"/>
    </row>
    <row r="1184" spans="1:25" x14ac:dyDescent="0.2">
      <c r="A1184" s="995"/>
      <c r="B1184" s="995"/>
      <c r="C1184" s="995"/>
      <c r="D1184" s="995"/>
      <c r="E1184" s="995"/>
      <c r="R1184" s="996"/>
      <c r="S1184" s="996"/>
      <c r="T1184" s="996"/>
      <c r="U1184" s="996"/>
      <c r="V1184" s="996"/>
      <c r="W1184" s="996"/>
      <c r="X1184" s="996"/>
      <c r="Y1184" s="996"/>
    </row>
    <row r="1185" spans="1:25" x14ac:dyDescent="0.2">
      <c r="A1185" s="995"/>
      <c r="B1185" s="995"/>
      <c r="C1185" s="995"/>
      <c r="D1185" s="995"/>
      <c r="E1185" s="995"/>
      <c r="R1185" s="996"/>
      <c r="S1185" s="996"/>
      <c r="T1185" s="996"/>
      <c r="U1185" s="996"/>
      <c r="V1185" s="996"/>
      <c r="W1185" s="996"/>
      <c r="X1185" s="996"/>
      <c r="Y1185" s="996"/>
    </row>
    <row r="1186" spans="1:25" x14ac:dyDescent="0.2">
      <c r="A1186" s="995"/>
      <c r="B1186" s="995"/>
      <c r="C1186" s="995"/>
      <c r="D1186" s="995"/>
      <c r="E1186" s="995"/>
      <c r="R1186" s="996"/>
      <c r="S1186" s="996"/>
      <c r="T1186" s="996"/>
      <c r="U1186" s="996"/>
      <c r="V1186" s="996"/>
      <c r="W1186" s="996"/>
      <c r="X1186" s="996"/>
      <c r="Y1186" s="996"/>
    </row>
    <row r="1187" spans="1:25" x14ac:dyDescent="0.2">
      <c r="A1187" s="995"/>
      <c r="B1187" s="995"/>
      <c r="C1187" s="995"/>
      <c r="D1187" s="995"/>
      <c r="E1187" s="995"/>
      <c r="R1187" s="996"/>
      <c r="S1187" s="996"/>
      <c r="T1187" s="996"/>
      <c r="U1187" s="996"/>
      <c r="V1187" s="996"/>
      <c r="W1187" s="996"/>
      <c r="X1187" s="996"/>
      <c r="Y1187" s="996"/>
    </row>
    <row r="1188" spans="1:25" x14ac:dyDescent="0.2">
      <c r="A1188" s="995"/>
      <c r="B1188" s="995"/>
      <c r="C1188" s="995"/>
      <c r="D1188" s="995"/>
      <c r="E1188" s="995"/>
      <c r="R1188" s="996"/>
      <c r="S1188" s="996"/>
      <c r="T1188" s="996"/>
      <c r="U1188" s="996"/>
      <c r="V1188" s="996"/>
      <c r="W1188" s="996"/>
      <c r="X1188" s="996"/>
      <c r="Y1188" s="996"/>
    </row>
    <row r="1189" spans="1:25" x14ac:dyDescent="0.2">
      <c r="A1189" s="995"/>
      <c r="B1189" s="995"/>
      <c r="C1189" s="995"/>
      <c r="D1189" s="995"/>
      <c r="E1189" s="995"/>
      <c r="R1189" s="996"/>
      <c r="S1189" s="996"/>
      <c r="T1189" s="996"/>
      <c r="U1189" s="996"/>
      <c r="V1189" s="996"/>
      <c r="W1189" s="996"/>
      <c r="X1189" s="996"/>
      <c r="Y1189" s="996"/>
    </row>
    <row r="1190" spans="1:25" x14ac:dyDescent="0.2">
      <c r="A1190" s="995"/>
      <c r="B1190" s="995"/>
      <c r="C1190" s="995"/>
      <c r="D1190" s="995"/>
      <c r="E1190" s="995"/>
      <c r="R1190" s="996"/>
      <c r="S1190" s="996"/>
      <c r="T1190" s="996"/>
      <c r="U1190" s="996"/>
      <c r="V1190" s="996"/>
      <c r="W1190" s="996"/>
      <c r="X1190" s="996"/>
      <c r="Y1190" s="996"/>
    </row>
    <row r="1191" spans="1:25" x14ac:dyDescent="0.2">
      <c r="A1191" s="995"/>
      <c r="B1191" s="995"/>
      <c r="C1191" s="995"/>
      <c r="D1191" s="995"/>
      <c r="E1191" s="995"/>
      <c r="R1191" s="996"/>
      <c r="S1191" s="996"/>
      <c r="T1191" s="996"/>
      <c r="U1191" s="996"/>
      <c r="V1191" s="996"/>
      <c r="W1191" s="996"/>
      <c r="X1191" s="996"/>
      <c r="Y1191" s="996"/>
    </row>
    <row r="1192" spans="1:25" x14ac:dyDescent="0.2">
      <c r="A1192" s="995"/>
      <c r="B1192" s="995"/>
      <c r="C1192" s="995"/>
      <c r="D1192" s="995"/>
      <c r="E1192" s="995"/>
      <c r="R1192" s="996"/>
      <c r="S1192" s="996"/>
      <c r="T1192" s="996"/>
      <c r="U1192" s="996"/>
      <c r="V1192" s="996"/>
      <c r="W1192" s="996"/>
      <c r="X1192" s="996"/>
      <c r="Y1192" s="996"/>
    </row>
    <row r="1193" spans="1:25" x14ac:dyDescent="0.2">
      <c r="A1193" s="995"/>
      <c r="B1193" s="995"/>
      <c r="C1193" s="995"/>
      <c r="D1193" s="995"/>
      <c r="E1193" s="995"/>
      <c r="R1193" s="996"/>
      <c r="S1193" s="996"/>
      <c r="T1193" s="996"/>
      <c r="U1193" s="996"/>
      <c r="V1193" s="996"/>
      <c r="W1193" s="996"/>
      <c r="X1193" s="996"/>
      <c r="Y1193" s="996"/>
    </row>
    <row r="1194" spans="1:25" x14ac:dyDescent="0.2">
      <c r="A1194" s="995"/>
      <c r="B1194" s="995"/>
      <c r="C1194" s="995"/>
      <c r="D1194" s="995"/>
      <c r="E1194" s="995"/>
      <c r="R1194" s="996"/>
      <c r="S1194" s="996"/>
      <c r="T1194" s="996"/>
      <c r="U1194" s="996"/>
      <c r="V1194" s="996"/>
      <c r="W1194" s="996"/>
      <c r="X1194" s="996"/>
      <c r="Y1194" s="996"/>
    </row>
    <row r="1195" spans="1:25" x14ac:dyDescent="0.2">
      <c r="A1195" s="995"/>
      <c r="B1195" s="995"/>
      <c r="C1195" s="995"/>
      <c r="D1195" s="995"/>
      <c r="E1195" s="995"/>
      <c r="R1195" s="996"/>
      <c r="S1195" s="996"/>
      <c r="T1195" s="996"/>
      <c r="U1195" s="996"/>
      <c r="V1195" s="996"/>
      <c r="W1195" s="996"/>
      <c r="X1195" s="996"/>
      <c r="Y1195" s="996"/>
    </row>
    <row r="1196" spans="1:25" x14ac:dyDescent="0.2">
      <c r="A1196" s="995"/>
      <c r="B1196" s="995"/>
      <c r="C1196" s="995"/>
      <c r="D1196" s="995"/>
      <c r="E1196" s="995"/>
      <c r="R1196" s="996"/>
      <c r="S1196" s="996"/>
      <c r="T1196" s="996"/>
      <c r="U1196" s="996"/>
      <c r="V1196" s="996"/>
      <c r="W1196" s="996"/>
      <c r="X1196" s="996"/>
      <c r="Y1196" s="996"/>
    </row>
    <row r="1197" spans="1:25" x14ac:dyDescent="0.2">
      <c r="A1197" s="995"/>
      <c r="B1197" s="995"/>
      <c r="C1197" s="995"/>
      <c r="D1197" s="995"/>
      <c r="E1197" s="995"/>
      <c r="R1197" s="996"/>
      <c r="S1197" s="996"/>
      <c r="T1197" s="996"/>
      <c r="U1197" s="996"/>
      <c r="V1197" s="996"/>
      <c r="W1197" s="996"/>
      <c r="X1197" s="996"/>
      <c r="Y1197" s="996"/>
    </row>
    <row r="1198" spans="1:25" x14ac:dyDescent="0.2">
      <c r="A1198" s="995"/>
      <c r="B1198" s="995"/>
      <c r="C1198" s="995"/>
      <c r="D1198" s="995"/>
      <c r="E1198" s="995"/>
      <c r="R1198" s="996"/>
      <c r="S1198" s="996"/>
      <c r="T1198" s="996"/>
      <c r="U1198" s="996"/>
      <c r="V1198" s="996"/>
      <c r="W1198" s="996"/>
      <c r="X1198" s="996"/>
      <c r="Y1198" s="996"/>
    </row>
    <row r="1199" spans="1:25" x14ac:dyDescent="0.2">
      <c r="A1199" s="995"/>
      <c r="B1199" s="995"/>
      <c r="C1199" s="995"/>
      <c r="D1199" s="995"/>
      <c r="E1199" s="995"/>
      <c r="R1199" s="996"/>
      <c r="S1199" s="996"/>
      <c r="T1199" s="996"/>
      <c r="U1199" s="996"/>
      <c r="V1199" s="996"/>
      <c r="W1199" s="996"/>
      <c r="X1199" s="996"/>
      <c r="Y1199" s="996"/>
    </row>
    <row r="1200" spans="1:25" x14ac:dyDescent="0.2">
      <c r="A1200" s="995"/>
      <c r="B1200" s="995"/>
      <c r="C1200" s="995"/>
      <c r="D1200" s="995"/>
      <c r="E1200" s="995"/>
      <c r="R1200" s="996"/>
      <c r="S1200" s="996"/>
      <c r="T1200" s="996"/>
      <c r="U1200" s="996"/>
      <c r="V1200" s="996"/>
      <c r="W1200" s="996"/>
      <c r="X1200" s="996"/>
      <c r="Y1200" s="996"/>
    </row>
    <row r="1201" spans="1:25" x14ac:dyDescent="0.2">
      <c r="A1201" s="995"/>
      <c r="B1201" s="995"/>
      <c r="C1201" s="995"/>
      <c r="D1201" s="995"/>
      <c r="E1201" s="995"/>
      <c r="R1201" s="996"/>
      <c r="S1201" s="996"/>
      <c r="T1201" s="996"/>
      <c r="U1201" s="996"/>
      <c r="V1201" s="996"/>
      <c r="W1201" s="996"/>
      <c r="X1201" s="996"/>
      <c r="Y1201" s="996"/>
    </row>
    <row r="1202" spans="1:25" x14ac:dyDescent="0.2">
      <c r="A1202" s="995"/>
      <c r="B1202" s="995"/>
      <c r="C1202" s="995"/>
      <c r="D1202" s="995"/>
      <c r="E1202" s="995"/>
      <c r="R1202" s="996"/>
      <c r="S1202" s="996"/>
      <c r="T1202" s="996"/>
      <c r="U1202" s="996"/>
      <c r="V1202" s="996"/>
      <c r="W1202" s="996"/>
      <c r="X1202" s="996"/>
      <c r="Y1202" s="996"/>
    </row>
    <row r="1203" spans="1:25" x14ac:dyDescent="0.2">
      <c r="A1203" s="995"/>
      <c r="B1203" s="995"/>
      <c r="C1203" s="995"/>
      <c r="D1203" s="995"/>
      <c r="E1203" s="995"/>
      <c r="R1203" s="996"/>
      <c r="S1203" s="996"/>
      <c r="T1203" s="996"/>
      <c r="U1203" s="996"/>
      <c r="V1203" s="996"/>
      <c r="W1203" s="996"/>
      <c r="X1203" s="996"/>
      <c r="Y1203" s="996"/>
    </row>
    <row r="1204" spans="1:25" x14ac:dyDescent="0.2">
      <c r="A1204" s="995"/>
      <c r="B1204" s="995"/>
      <c r="C1204" s="995"/>
      <c r="D1204" s="995"/>
      <c r="E1204" s="995"/>
      <c r="R1204" s="996"/>
      <c r="S1204" s="996"/>
      <c r="T1204" s="996"/>
      <c r="U1204" s="996"/>
      <c r="V1204" s="996"/>
      <c r="W1204" s="996"/>
      <c r="X1204" s="996"/>
      <c r="Y1204" s="996"/>
    </row>
    <row r="1205" spans="1:25" x14ac:dyDescent="0.2">
      <c r="A1205" s="995"/>
      <c r="B1205" s="995"/>
      <c r="C1205" s="995"/>
      <c r="D1205" s="995"/>
      <c r="E1205" s="995"/>
      <c r="R1205" s="996"/>
      <c r="S1205" s="996"/>
      <c r="T1205" s="996"/>
      <c r="U1205" s="996"/>
      <c r="V1205" s="996"/>
      <c r="W1205" s="996"/>
      <c r="X1205" s="996"/>
      <c r="Y1205" s="996"/>
    </row>
    <row r="1206" spans="1:25" x14ac:dyDescent="0.2">
      <c r="A1206" s="995"/>
      <c r="B1206" s="995"/>
      <c r="C1206" s="995"/>
      <c r="D1206" s="995"/>
      <c r="E1206" s="995"/>
      <c r="R1206" s="996"/>
      <c r="S1206" s="996"/>
      <c r="T1206" s="996"/>
      <c r="U1206" s="996"/>
      <c r="V1206" s="996"/>
      <c r="W1206" s="996"/>
      <c r="X1206" s="996"/>
      <c r="Y1206" s="996"/>
    </row>
    <row r="1207" spans="1:25" x14ac:dyDescent="0.2">
      <c r="A1207" s="995"/>
      <c r="B1207" s="995"/>
      <c r="C1207" s="995"/>
      <c r="D1207" s="995"/>
      <c r="E1207" s="995"/>
      <c r="R1207" s="996"/>
      <c r="S1207" s="996"/>
      <c r="T1207" s="996"/>
      <c r="U1207" s="996"/>
      <c r="V1207" s="996"/>
      <c r="W1207" s="996"/>
      <c r="X1207" s="996"/>
      <c r="Y1207" s="996"/>
    </row>
    <row r="1208" spans="1:25" x14ac:dyDescent="0.2">
      <c r="A1208" s="995"/>
      <c r="B1208" s="995"/>
      <c r="C1208" s="995"/>
      <c r="D1208" s="995"/>
      <c r="E1208" s="995"/>
      <c r="R1208" s="996"/>
      <c r="S1208" s="996"/>
      <c r="T1208" s="996"/>
      <c r="U1208" s="996"/>
      <c r="V1208" s="996"/>
      <c r="W1208" s="996"/>
      <c r="X1208" s="996"/>
      <c r="Y1208" s="996"/>
    </row>
    <row r="1209" spans="1:25" x14ac:dyDescent="0.2">
      <c r="A1209" s="995"/>
      <c r="B1209" s="995"/>
      <c r="C1209" s="995"/>
      <c r="D1209" s="995"/>
      <c r="E1209" s="995"/>
      <c r="R1209" s="996"/>
      <c r="S1209" s="996"/>
      <c r="T1209" s="996"/>
      <c r="U1209" s="996"/>
      <c r="V1209" s="996"/>
      <c r="W1209" s="996"/>
      <c r="X1209" s="996"/>
      <c r="Y1209" s="996"/>
    </row>
    <row r="1210" spans="1:25" x14ac:dyDescent="0.2">
      <c r="A1210" s="995"/>
      <c r="B1210" s="995"/>
      <c r="C1210" s="995"/>
      <c r="D1210" s="995"/>
      <c r="E1210" s="995"/>
      <c r="R1210" s="996"/>
      <c r="S1210" s="996"/>
      <c r="T1210" s="996"/>
      <c r="U1210" s="996"/>
      <c r="V1210" s="996"/>
      <c r="W1210" s="996"/>
      <c r="X1210" s="996"/>
      <c r="Y1210" s="996"/>
    </row>
    <row r="1211" spans="1:25" x14ac:dyDescent="0.2">
      <c r="A1211" s="995"/>
      <c r="B1211" s="995"/>
      <c r="C1211" s="995"/>
      <c r="D1211" s="995"/>
      <c r="E1211" s="995"/>
      <c r="R1211" s="996"/>
      <c r="S1211" s="996"/>
      <c r="T1211" s="996"/>
      <c r="U1211" s="996"/>
      <c r="V1211" s="996"/>
      <c r="W1211" s="996"/>
      <c r="X1211" s="996"/>
      <c r="Y1211" s="996"/>
    </row>
    <row r="1212" spans="1:25" x14ac:dyDescent="0.2">
      <c r="A1212" s="995"/>
      <c r="B1212" s="995"/>
      <c r="C1212" s="995"/>
      <c r="D1212" s="995"/>
      <c r="E1212" s="995"/>
      <c r="R1212" s="996"/>
      <c r="S1212" s="996"/>
      <c r="T1212" s="996"/>
      <c r="U1212" s="996"/>
      <c r="V1212" s="996"/>
      <c r="W1212" s="996"/>
      <c r="X1212" s="996"/>
      <c r="Y1212" s="996"/>
    </row>
    <row r="1213" spans="1:25" x14ac:dyDescent="0.2">
      <c r="A1213" s="995"/>
      <c r="B1213" s="995"/>
      <c r="C1213" s="995"/>
      <c r="D1213" s="995"/>
      <c r="E1213" s="995"/>
      <c r="R1213" s="996"/>
      <c r="S1213" s="996"/>
      <c r="T1213" s="996"/>
      <c r="U1213" s="996"/>
      <c r="V1213" s="996"/>
      <c r="W1213" s="996"/>
      <c r="X1213" s="996"/>
      <c r="Y1213" s="996"/>
    </row>
    <row r="1214" spans="1:25" x14ac:dyDescent="0.2">
      <c r="A1214" s="995"/>
      <c r="B1214" s="995"/>
      <c r="C1214" s="995"/>
      <c r="D1214" s="995"/>
      <c r="E1214" s="995"/>
      <c r="R1214" s="996"/>
      <c r="S1214" s="996"/>
      <c r="T1214" s="996"/>
      <c r="U1214" s="996"/>
      <c r="V1214" s="996"/>
      <c r="W1214" s="996"/>
      <c r="X1214" s="996"/>
      <c r="Y1214" s="996"/>
    </row>
    <row r="1215" spans="1:25" x14ac:dyDescent="0.2">
      <c r="A1215" s="995"/>
      <c r="B1215" s="995"/>
      <c r="C1215" s="995"/>
      <c r="D1215" s="995"/>
      <c r="E1215" s="995"/>
      <c r="R1215" s="996"/>
      <c r="S1215" s="996"/>
      <c r="T1215" s="996"/>
      <c r="U1215" s="996"/>
      <c r="V1215" s="996"/>
      <c r="W1215" s="996"/>
      <c r="X1215" s="996"/>
      <c r="Y1215" s="996"/>
    </row>
    <row r="1216" spans="1:25" x14ac:dyDescent="0.2">
      <c r="A1216" s="995"/>
      <c r="B1216" s="995"/>
      <c r="C1216" s="995"/>
      <c r="D1216" s="995"/>
      <c r="E1216" s="995"/>
      <c r="R1216" s="996"/>
      <c r="S1216" s="996"/>
      <c r="T1216" s="996"/>
      <c r="U1216" s="996"/>
      <c r="V1216" s="996"/>
      <c r="W1216" s="996"/>
      <c r="X1216" s="996"/>
      <c r="Y1216" s="996"/>
    </row>
    <row r="1217" spans="1:25" x14ac:dyDescent="0.2">
      <c r="A1217" s="995"/>
      <c r="B1217" s="995"/>
      <c r="C1217" s="995"/>
      <c r="D1217" s="995"/>
      <c r="E1217" s="995"/>
      <c r="R1217" s="996"/>
      <c r="S1217" s="996"/>
      <c r="T1217" s="996"/>
      <c r="U1217" s="996"/>
      <c r="V1217" s="996"/>
      <c r="W1217" s="996"/>
      <c r="X1217" s="996"/>
      <c r="Y1217" s="996"/>
    </row>
    <row r="1218" spans="1:25" x14ac:dyDescent="0.2">
      <c r="A1218" s="995"/>
      <c r="B1218" s="995"/>
      <c r="C1218" s="995"/>
      <c r="D1218" s="995"/>
      <c r="E1218" s="995"/>
      <c r="R1218" s="996"/>
      <c r="S1218" s="996"/>
      <c r="T1218" s="996"/>
      <c r="U1218" s="996"/>
      <c r="V1218" s="996"/>
      <c r="W1218" s="996"/>
      <c r="X1218" s="996"/>
      <c r="Y1218" s="996"/>
    </row>
    <row r="1219" spans="1:25" x14ac:dyDescent="0.2">
      <c r="A1219" s="995"/>
      <c r="B1219" s="995"/>
      <c r="C1219" s="995"/>
      <c r="D1219" s="995"/>
      <c r="E1219" s="995"/>
      <c r="R1219" s="996"/>
      <c r="S1219" s="996"/>
      <c r="T1219" s="996"/>
      <c r="U1219" s="996"/>
      <c r="V1219" s="996"/>
      <c r="W1219" s="996"/>
      <c r="X1219" s="996"/>
      <c r="Y1219" s="996"/>
    </row>
    <row r="1220" spans="1:25" x14ac:dyDescent="0.2">
      <c r="A1220" s="995"/>
      <c r="B1220" s="995"/>
      <c r="C1220" s="995"/>
      <c r="D1220" s="995"/>
      <c r="E1220" s="995"/>
      <c r="R1220" s="996"/>
      <c r="S1220" s="996"/>
      <c r="T1220" s="996"/>
      <c r="U1220" s="996"/>
      <c r="V1220" s="996"/>
      <c r="W1220" s="996"/>
      <c r="X1220" s="996"/>
      <c r="Y1220" s="996"/>
    </row>
    <row r="1221" spans="1:25" x14ac:dyDescent="0.2">
      <c r="A1221" s="995"/>
      <c r="B1221" s="995"/>
      <c r="C1221" s="995"/>
      <c r="D1221" s="995"/>
      <c r="E1221" s="995"/>
      <c r="R1221" s="996"/>
      <c r="S1221" s="996"/>
      <c r="T1221" s="996"/>
      <c r="U1221" s="996"/>
      <c r="V1221" s="996"/>
      <c r="W1221" s="996"/>
      <c r="X1221" s="996"/>
      <c r="Y1221" s="996"/>
    </row>
    <row r="1222" spans="1:25" x14ac:dyDescent="0.2">
      <c r="A1222" s="995"/>
      <c r="B1222" s="995"/>
      <c r="C1222" s="995"/>
      <c r="D1222" s="995"/>
      <c r="E1222" s="995"/>
      <c r="R1222" s="996"/>
      <c r="S1222" s="996"/>
      <c r="T1222" s="996"/>
      <c r="U1222" s="996"/>
      <c r="V1222" s="996"/>
      <c r="W1222" s="996"/>
      <c r="X1222" s="996"/>
      <c r="Y1222" s="996"/>
    </row>
    <row r="1223" spans="1:25" x14ac:dyDescent="0.2">
      <c r="A1223" s="995"/>
      <c r="B1223" s="995"/>
      <c r="C1223" s="995"/>
      <c r="D1223" s="995"/>
      <c r="E1223" s="995"/>
      <c r="R1223" s="996"/>
      <c r="S1223" s="996"/>
      <c r="T1223" s="996"/>
      <c r="U1223" s="996"/>
      <c r="V1223" s="996"/>
      <c r="W1223" s="996"/>
      <c r="X1223" s="996"/>
      <c r="Y1223" s="996"/>
    </row>
    <row r="1224" spans="1:25" x14ac:dyDescent="0.2">
      <c r="A1224" s="995"/>
      <c r="B1224" s="995"/>
      <c r="C1224" s="995"/>
      <c r="D1224" s="995"/>
      <c r="E1224" s="995"/>
      <c r="R1224" s="996"/>
      <c r="S1224" s="996"/>
      <c r="T1224" s="996"/>
      <c r="U1224" s="996"/>
      <c r="V1224" s="996"/>
      <c r="W1224" s="996"/>
      <c r="X1224" s="996"/>
      <c r="Y1224" s="996"/>
    </row>
    <row r="1225" spans="1:25" x14ac:dyDescent="0.2">
      <c r="A1225" s="995"/>
      <c r="B1225" s="995"/>
      <c r="C1225" s="995"/>
      <c r="D1225" s="995"/>
      <c r="E1225" s="995"/>
      <c r="R1225" s="996"/>
      <c r="S1225" s="996"/>
      <c r="T1225" s="996"/>
      <c r="U1225" s="996"/>
      <c r="V1225" s="996"/>
      <c r="W1225" s="996"/>
      <c r="X1225" s="996"/>
      <c r="Y1225" s="996"/>
    </row>
    <row r="1226" spans="1:25" x14ac:dyDescent="0.2">
      <c r="A1226" s="995"/>
      <c r="B1226" s="995"/>
      <c r="C1226" s="995"/>
      <c r="D1226" s="995"/>
      <c r="E1226" s="995"/>
      <c r="R1226" s="996"/>
      <c r="S1226" s="996"/>
      <c r="T1226" s="996"/>
      <c r="U1226" s="996"/>
      <c r="V1226" s="996"/>
      <c r="W1226" s="996"/>
      <c r="X1226" s="996"/>
      <c r="Y1226" s="996"/>
    </row>
    <row r="1227" spans="1:25" x14ac:dyDescent="0.2">
      <c r="A1227" s="995"/>
      <c r="B1227" s="995"/>
      <c r="C1227" s="995"/>
      <c r="D1227" s="995"/>
      <c r="E1227" s="995"/>
      <c r="R1227" s="996"/>
      <c r="S1227" s="996"/>
      <c r="T1227" s="996"/>
      <c r="U1227" s="996"/>
      <c r="V1227" s="996"/>
      <c r="W1227" s="996"/>
      <c r="X1227" s="996"/>
      <c r="Y1227" s="996"/>
    </row>
    <row r="1228" spans="1:25" x14ac:dyDescent="0.2">
      <c r="A1228" s="995"/>
      <c r="B1228" s="995"/>
      <c r="C1228" s="995"/>
      <c r="D1228" s="995"/>
      <c r="E1228" s="995"/>
      <c r="R1228" s="996"/>
      <c r="S1228" s="996"/>
      <c r="T1228" s="996"/>
      <c r="U1228" s="996"/>
      <c r="V1228" s="996"/>
      <c r="W1228" s="996"/>
      <c r="X1228" s="996"/>
      <c r="Y1228" s="996"/>
    </row>
    <row r="1229" spans="1:25" x14ac:dyDescent="0.2">
      <c r="A1229" s="995"/>
      <c r="B1229" s="995"/>
      <c r="C1229" s="995"/>
      <c r="D1229" s="995"/>
      <c r="E1229" s="995"/>
      <c r="R1229" s="996"/>
      <c r="S1229" s="996"/>
      <c r="T1229" s="996"/>
      <c r="U1229" s="996"/>
      <c r="V1229" s="996"/>
      <c r="W1229" s="996"/>
      <c r="X1229" s="996"/>
      <c r="Y1229" s="996"/>
    </row>
    <row r="1230" spans="1:25" x14ac:dyDescent="0.2">
      <c r="A1230" s="995"/>
      <c r="B1230" s="995"/>
      <c r="C1230" s="995"/>
      <c r="D1230" s="995"/>
      <c r="E1230" s="995"/>
      <c r="R1230" s="996"/>
      <c r="S1230" s="996"/>
      <c r="T1230" s="996"/>
      <c r="U1230" s="996"/>
      <c r="V1230" s="996"/>
      <c r="W1230" s="996"/>
      <c r="X1230" s="996"/>
      <c r="Y1230" s="996"/>
    </row>
    <row r="1231" spans="1:25" x14ac:dyDescent="0.2">
      <c r="A1231" s="995"/>
      <c r="B1231" s="995"/>
      <c r="C1231" s="995"/>
      <c r="D1231" s="995"/>
      <c r="E1231" s="995"/>
      <c r="R1231" s="996"/>
      <c r="S1231" s="996"/>
      <c r="T1231" s="996"/>
      <c r="U1231" s="996"/>
      <c r="V1231" s="996"/>
      <c r="W1231" s="996"/>
      <c r="X1231" s="996"/>
      <c r="Y1231" s="996"/>
    </row>
    <row r="1232" spans="1:25" x14ac:dyDescent="0.2">
      <c r="A1232" s="995"/>
      <c r="B1232" s="995"/>
      <c r="C1232" s="995"/>
      <c r="D1232" s="995"/>
      <c r="E1232" s="995"/>
      <c r="R1232" s="996"/>
      <c r="S1232" s="996"/>
      <c r="T1232" s="996"/>
      <c r="U1232" s="996"/>
      <c r="V1232" s="996"/>
      <c r="W1232" s="996"/>
      <c r="X1232" s="996"/>
      <c r="Y1232" s="996"/>
    </row>
    <row r="1233" spans="1:25" x14ac:dyDescent="0.2">
      <c r="A1233" s="995"/>
      <c r="B1233" s="995"/>
      <c r="C1233" s="995"/>
      <c r="D1233" s="995"/>
      <c r="E1233" s="995"/>
      <c r="R1233" s="996"/>
      <c r="S1233" s="996"/>
      <c r="T1233" s="996"/>
      <c r="U1233" s="996"/>
      <c r="V1233" s="996"/>
      <c r="W1233" s="996"/>
      <c r="X1233" s="996"/>
      <c r="Y1233" s="996"/>
    </row>
    <row r="1234" spans="1:25" x14ac:dyDescent="0.2">
      <c r="A1234" s="995"/>
      <c r="B1234" s="995"/>
      <c r="C1234" s="995"/>
      <c r="D1234" s="995"/>
      <c r="E1234" s="995"/>
      <c r="R1234" s="996"/>
      <c r="S1234" s="996"/>
      <c r="T1234" s="996"/>
      <c r="U1234" s="996"/>
      <c r="V1234" s="996"/>
      <c r="W1234" s="996"/>
      <c r="X1234" s="996"/>
      <c r="Y1234" s="996"/>
    </row>
    <row r="1235" spans="1:25" x14ac:dyDescent="0.2">
      <c r="A1235" s="995"/>
      <c r="B1235" s="995"/>
      <c r="C1235" s="995"/>
      <c r="D1235" s="995"/>
      <c r="E1235" s="995"/>
      <c r="R1235" s="996"/>
      <c r="S1235" s="996"/>
      <c r="T1235" s="996"/>
      <c r="U1235" s="996"/>
      <c r="V1235" s="996"/>
      <c r="W1235" s="996"/>
      <c r="X1235" s="996"/>
      <c r="Y1235" s="996"/>
    </row>
    <row r="1236" spans="1:25" x14ac:dyDescent="0.2">
      <c r="A1236" s="995"/>
      <c r="B1236" s="995"/>
      <c r="C1236" s="995"/>
      <c r="D1236" s="995"/>
      <c r="E1236" s="995"/>
      <c r="R1236" s="996"/>
      <c r="S1236" s="996"/>
      <c r="T1236" s="996"/>
      <c r="U1236" s="996"/>
      <c r="V1236" s="996"/>
      <c r="W1236" s="996"/>
      <c r="X1236" s="996"/>
      <c r="Y1236" s="996"/>
    </row>
    <row r="1237" spans="1:25" x14ac:dyDescent="0.2">
      <c r="A1237" s="995"/>
      <c r="B1237" s="995"/>
      <c r="C1237" s="995"/>
      <c r="D1237" s="995"/>
      <c r="E1237" s="995"/>
      <c r="R1237" s="996"/>
      <c r="S1237" s="996"/>
      <c r="T1237" s="996"/>
      <c r="U1237" s="996"/>
      <c r="V1237" s="996"/>
      <c r="W1237" s="996"/>
      <c r="X1237" s="996"/>
      <c r="Y1237" s="996"/>
    </row>
    <row r="1238" spans="1:25" x14ac:dyDescent="0.2">
      <c r="A1238" s="995"/>
      <c r="B1238" s="995"/>
      <c r="C1238" s="995"/>
      <c r="D1238" s="995"/>
      <c r="E1238" s="995"/>
      <c r="R1238" s="996"/>
      <c r="S1238" s="996"/>
      <c r="T1238" s="996"/>
      <c r="U1238" s="996"/>
      <c r="V1238" s="996"/>
      <c r="W1238" s="996"/>
      <c r="X1238" s="996"/>
      <c r="Y1238" s="996"/>
    </row>
    <row r="1239" spans="1:25" x14ac:dyDescent="0.2">
      <c r="A1239" s="995"/>
      <c r="B1239" s="995"/>
      <c r="C1239" s="995"/>
      <c r="D1239" s="995"/>
      <c r="E1239" s="995"/>
      <c r="R1239" s="996"/>
      <c r="S1239" s="996"/>
      <c r="T1239" s="996"/>
      <c r="U1239" s="996"/>
      <c r="V1239" s="996"/>
      <c r="W1239" s="996"/>
      <c r="X1239" s="996"/>
      <c r="Y1239" s="996"/>
    </row>
    <row r="1240" spans="1:25" x14ac:dyDescent="0.2">
      <c r="A1240" s="995"/>
      <c r="B1240" s="995"/>
      <c r="C1240" s="995"/>
      <c r="D1240" s="995"/>
      <c r="E1240" s="995"/>
      <c r="R1240" s="996"/>
      <c r="S1240" s="996"/>
      <c r="T1240" s="996"/>
      <c r="U1240" s="996"/>
      <c r="V1240" s="996"/>
      <c r="W1240" s="996"/>
      <c r="X1240" s="996"/>
      <c r="Y1240" s="996"/>
    </row>
    <row r="1241" spans="1:25" x14ac:dyDescent="0.2">
      <c r="A1241" s="995"/>
      <c r="B1241" s="995"/>
      <c r="C1241" s="995"/>
      <c r="D1241" s="995"/>
      <c r="E1241" s="995"/>
      <c r="R1241" s="996"/>
      <c r="S1241" s="996"/>
      <c r="T1241" s="996"/>
      <c r="U1241" s="996"/>
      <c r="V1241" s="996"/>
      <c r="W1241" s="996"/>
      <c r="X1241" s="996"/>
      <c r="Y1241" s="996"/>
    </row>
    <row r="1242" spans="1:25" x14ac:dyDescent="0.2">
      <c r="A1242" s="995"/>
      <c r="B1242" s="995"/>
      <c r="C1242" s="995"/>
      <c r="D1242" s="995"/>
      <c r="E1242" s="995"/>
      <c r="R1242" s="996"/>
      <c r="S1242" s="996"/>
      <c r="T1242" s="996"/>
      <c r="U1242" s="996"/>
      <c r="V1242" s="996"/>
      <c r="W1242" s="996"/>
      <c r="X1242" s="996"/>
      <c r="Y1242" s="996"/>
    </row>
    <row r="1243" spans="1:25" x14ac:dyDescent="0.2">
      <c r="A1243" s="995"/>
      <c r="B1243" s="995"/>
      <c r="C1243" s="995"/>
      <c r="D1243" s="995"/>
      <c r="E1243" s="995"/>
      <c r="R1243" s="996"/>
      <c r="S1243" s="996"/>
      <c r="T1243" s="996"/>
      <c r="U1243" s="996"/>
      <c r="V1243" s="996"/>
      <c r="W1243" s="996"/>
      <c r="X1243" s="996"/>
      <c r="Y1243" s="996"/>
    </row>
    <row r="1244" spans="1:25" x14ac:dyDescent="0.2">
      <c r="A1244" s="995"/>
      <c r="B1244" s="995"/>
      <c r="C1244" s="995"/>
      <c r="D1244" s="995"/>
      <c r="E1244" s="995"/>
      <c r="R1244" s="996"/>
      <c r="S1244" s="996"/>
      <c r="T1244" s="996"/>
      <c r="U1244" s="996"/>
      <c r="V1244" s="996"/>
      <c r="W1244" s="996"/>
      <c r="X1244" s="996"/>
      <c r="Y1244" s="996"/>
    </row>
    <row r="1245" spans="1:25" x14ac:dyDescent="0.2">
      <c r="A1245" s="995"/>
      <c r="B1245" s="995"/>
      <c r="C1245" s="995"/>
      <c r="D1245" s="995"/>
      <c r="E1245" s="995"/>
      <c r="R1245" s="996"/>
      <c r="S1245" s="996"/>
      <c r="T1245" s="996"/>
      <c r="U1245" s="996"/>
      <c r="V1245" s="996"/>
      <c r="W1245" s="996"/>
      <c r="X1245" s="996"/>
      <c r="Y1245" s="996"/>
    </row>
    <row r="1246" spans="1:25" x14ac:dyDescent="0.2">
      <c r="A1246" s="995"/>
      <c r="B1246" s="995"/>
      <c r="C1246" s="995"/>
      <c r="D1246" s="995"/>
      <c r="E1246" s="995"/>
      <c r="R1246" s="996"/>
      <c r="S1246" s="996"/>
      <c r="T1246" s="996"/>
      <c r="U1246" s="996"/>
      <c r="V1246" s="996"/>
      <c r="W1246" s="996"/>
      <c r="X1246" s="996"/>
      <c r="Y1246" s="996"/>
    </row>
    <row r="1247" spans="1:25" x14ac:dyDescent="0.2">
      <c r="A1247" s="995"/>
      <c r="B1247" s="995"/>
      <c r="C1247" s="995"/>
      <c r="D1247" s="995"/>
      <c r="E1247" s="995"/>
      <c r="R1247" s="996"/>
      <c r="S1247" s="996"/>
      <c r="T1247" s="996"/>
      <c r="U1247" s="996"/>
      <c r="V1247" s="996"/>
      <c r="W1247" s="996"/>
      <c r="X1247" s="996"/>
      <c r="Y1247" s="996"/>
    </row>
    <row r="1248" spans="1:25" x14ac:dyDescent="0.2">
      <c r="A1248" s="995"/>
      <c r="B1248" s="995"/>
      <c r="C1248" s="995"/>
      <c r="D1248" s="995"/>
      <c r="E1248" s="995"/>
      <c r="R1248" s="996"/>
      <c r="S1248" s="996"/>
      <c r="T1248" s="996"/>
      <c r="U1248" s="996"/>
      <c r="V1248" s="996"/>
      <c r="W1248" s="996"/>
      <c r="X1248" s="996"/>
      <c r="Y1248" s="996"/>
    </row>
    <row r="1249" spans="1:25" x14ac:dyDescent="0.2">
      <c r="A1249" s="995"/>
      <c r="B1249" s="995"/>
      <c r="C1249" s="995"/>
      <c r="D1249" s="995"/>
      <c r="E1249" s="995"/>
      <c r="R1249" s="996"/>
      <c r="S1249" s="996"/>
      <c r="T1249" s="996"/>
      <c r="U1249" s="996"/>
      <c r="V1249" s="996"/>
      <c r="W1249" s="996"/>
      <c r="X1249" s="996"/>
      <c r="Y1249" s="996"/>
    </row>
    <row r="1250" spans="1:25" x14ac:dyDescent="0.2">
      <c r="A1250" s="995"/>
      <c r="B1250" s="995"/>
      <c r="C1250" s="995"/>
      <c r="D1250" s="995"/>
      <c r="E1250" s="995"/>
      <c r="R1250" s="996"/>
      <c r="S1250" s="996"/>
      <c r="T1250" s="996"/>
      <c r="U1250" s="996"/>
      <c r="V1250" s="996"/>
      <c r="W1250" s="996"/>
      <c r="X1250" s="996"/>
      <c r="Y1250" s="996"/>
    </row>
    <row r="1251" spans="1:25" x14ac:dyDescent="0.2">
      <c r="A1251" s="995"/>
      <c r="B1251" s="995"/>
      <c r="C1251" s="995"/>
      <c r="D1251" s="995"/>
      <c r="E1251" s="995"/>
      <c r="R1251" s="996"/>
      <c r="S1251" s="996"/>
      <c r="T1251" s="996"/>
      <c r="U1251" s="996"/>
      <c r="V1251" s="996"/>
      <c r="W1251" s="996"/>
      <c r="X1251" s="996"/>
      <c r="Y1251" s="996"/>
    </row>
    <row r="1252" spans="1:25" x14ac:dyDescent="0.2">
      <c r="A1252" s="995"/>
      <c r="B1252" s="995"/>
      <c r="C1252" s="995"/>
      <c r="D1252" s="995"/>
      <c r="E1252" s="995"/>
      <c r="R1252" s="996"/>
      <c r="S1252" s="996"/>
      <c r="T1252" s="996"/>
      <c r="U1252" s="996"/>
      <c r="V1252" s="996"/>
      <c r="W1252" s="996"/>
      <c r="X1252" s="996"/>
      <c r="Y1252" s="996"/>
    </row>
    <row r="1253" spans="1:25" x14ac:dyDescent="0.2">
      <c r="A1253" s="995"/>
      <c r="B1253" s="995"/>
      <c r="C1253" s="995"/>
      <c r="D1253" s="995"/>
      <c r="E1253" s="995"/>
      <c r="R1253" s="996"/>
      <c r="S1253" s="996"/>
      <c r="T1253" s="996"/>
      <c r="U1253" s="996"/>
      <c r="V1253" s="996"/>
      <c r="W1253" s="996"/>
      <c r="X1253" s="996"/>
      <c r="Y1253" s="996"/>
    </row>
    <row r="1254" spans="1:25" x14ac:dyDescent="0.2">
      <c r="A1254" s="995"/>
      <c r="B1254" s="995"/>
      <c r="C1254" s="995"/>
      <c r="D1254" s="995"/>
      <c r="E1254" s="995"/>
      <c r="R1254" s="996"/>
      <c r="S1254" s="996"/>
      <c r="T1254" s="996"/>
      <c r="U1254" s="996"/>
      <c r="V1254" s="996"/>
      <c r="W1254" s="996"/>
      <c r="X1254" s="996"/>
      <c r="Y1254" s="996"/>
    </row>
    <row r="1255" spans="1:25" x14ac:dyDescent="0.2">
      <c r="A1255" s="995"/>
      <c r="B1255" s="995"/>
      <c r="C1255" s="995"/>
      <c r="D1255" s="995"/>
      <c r="E1255" s="995"/>
      <c r="R1255" s="996"/>
      <c r="S1255" s="996"/>
      <c r="T1255" s="996"/>
      <c r="U1255" s="996"/>
      <c r="V1255" s="996"/>
      <c r="W1255" s="996"/>
      <c r="X1255" s="996"/>
      <c r="Y1255" s="996"/>
    </row>
    <row r="1256" spans="1:25" x14ac:dyDescent="0.2">
      <c r="A1256" s="995"/>
      <c r="B1256" s="995"/>
      <c r="C1256" s="995"/>
      <c r="D1256" s="995"/>
      <c r="E1256" s="995"/>
      <c r="R1256" s="996"/>
      <c r="S1256" s="996"/>
      <c r="T1256" s="996"/>
      <c r="U1256" s="996"/>
      <c r="V1256" s="996"/>
      <c r="W1256" s="996"/>
      <c r="X1256" s="996"/>
      <c r="Y1256" s="996"/>
    </row>
    <row r="1257" spans="1:25" x14ac:dyDescent="0.2">
      <c r="A1257" s="995"/>
      <c r="B1257" s="995"/>
      <c r="C1257" s="995"/>
      <c r="D1257" s="995"/>
      <c r="E1257" s="995"/>
      <c r="R1257" s="996"/>
      <c r="S1257" s="996"/>
      <c r="T1257" s="996"/>
      <c r="U1257" s="996"/>
      <c r="V1257" s="996"/>
      <c r="W1257" s="996"/>
      <c r="X1257" s="996"/>
      <c r="Y1257" s="996"/>
    </row>
    <row r="1258" spans="1:25" x14ac:dyDescent="0.2">
      <c r="A1258" s="995"/>
      <c r="B1258" s="995"/>
      <c r="C1258" s="995"/>
      <c r="D1258" s="995"/>
      <c r="E1258" s="995"/>
      <c r="R1258" s="996"/>
      <c r="S1258" s="996"/>
      <c r="T1258" s="996"/>
      <c r="U1258" s="996"/>
      <c r="V1258" s="996"/>
      <c r="W1258" s="996"/>
      <c r="X1258" s="996"/>
      <c r="Y1258" s="996"/>
    </row>
    <row r="1259" spans="1:25" x14ac:dyDescent="0.2">
      <c r="A1259" s="995"/>
      <c r="B1259" s="995"/>
      <c r="C1259" s="995"/>
      <c r="D1259" s="995"/>
      <c r="E1259" s="995"/>
      <c r="R1259" s="996"/>
      <c r="S1259" s="996"/>
      <c r="T1259" s="996"/>
      <c r="U1259" s="996"/>
      <c r="V1259" s="996"/>
      <c r="W1259" s="996"/>
      <c r="X1259" s="996"/>
      <c r="Y1259" s="996"/>
    </row>
    <row r="1260" spans="1:25" x14ac:dyDescent="0.2">
      <c r="A1260" s="995"/>
      <c r="B1260" s="995"/>
      <c r="C1260" s="995"/>
      <c r="D1260" s="995"/>
      <c r="E1260" s="995"/>
      <c r="R1260" s="996"/>
      <c r="S1260" s="996"/>
      <c r="T1260" s="996"/>
      <c r="U1260" s="996"/>
      <c r="V1260" s="996"/>
      <c r="W1260" s="996"/>
      <c r="X1260" s="996"/>
      <c r="Y1260" s="996"/>
    </row>
    <row r="1261" spans="1:25" x14ac:dyDescent="0.2">
      <c r="A1261" s="995"/>
      <c r="B1261" s="995"/>
      <c r="C1261" s="995"/>
      <c r="D1261" s="995"/>
      <c r="E1261" s="995"/>
      <c r="R1261" s="996"/>
      <c r="S1261" s="996"/>
      <c r="T1261" s="996"/>
      <c r="U1261" s="996"/>
      <c r="V1261" s="996"/>
      <c r="W1261" s="996"/>
      <c r="X1261" s="996"/>
      <c r="Y1261" s="996"/>
    </row>
    <row r="1262" spans="1:25" x14ac:dyDescent="0.2">
      <c r="A1262" s="995"/>
      <c r="B1262" s="995"/>
      <c r="C1262" s="995"/>
      <c r="D1262" s="995"/>
      <c r="E1262" s="995"/>
      <c r="R1262" s="996"/>
      <c r="S1262" s="996"/>
      <c r="T1262" s="996"/>
      <c r="U1262" s="996"/>
      <c r="V1262" s="996"/>
      <c r="W1262" s="996"/>
      <c r="X1262" s="996"/>
      <c r="Y1262" s="996"/>
    </row>
    <row r="1263" spans="1:25" x14ac:dyDescent="0.2">
      <c r="A1263" s="995"/>
      <c r="B1263" s="995"/>
      <c r="C1263" s="995"/>
      <c r="D1263" s="995"/>
      <c r="E1263" s="995"/>
      <c r="R1263" s="996"/>
      <c r="S1263" s="996"/>
      <c r="T1263" s="996"/>
      <c r="U1263" s="996"/>
      <c r="V1263" s="996"/>
      <c r="W1263" s="996"/>
      <c r="X1263" s="996"/>
      <c r="Y1263" s="996"/>
    </row>
    <row r="1264" spans="1:25" x14ac:dyDescent="0.2">
      <c r="A1264" s="995"/>
      <c r="B1264" s="995"/>
      <c r="C1264" s="995"/>
      <c r="D1264" s="995"/>
      <c r="E1264" s="995"/>
      <c r="R1264" s="996"/>
      <c r="S1264" s="996"/>
      <c r="T1264" s="996"/>
      <c r="U1264" s="996"/>
      <c r="V1264" s="996"/>
      <c r="W1264" s="996"/>
      <c r="X1264" s="996"/>
      <c r="Y1264" s="996"/>
    </row>
    <row r="1265" spans="1:25" x14ac:dyDescent="0.2">
      <c r="A1265" s="995"/>
      <c r="B1265" s="995"/>
      <c r="C1265" s="995"/>
      <c r="D1265" s="995"/>
      <c r="E1265" s="995"/>
      <c r="R1265" s="996"/>
      <c r="S1265" s="996"/>
      <c r="T1265" s="996"/>
      <c r="U1265" s="996"/>
      <c r="V1265" s="996"/>
      <c r="W1265" s="996"/>
      <c r="X1265" s="996"/>
      <c r="Y1265" s="996"/>
    </row>
    <row r="1266" spans="1:25" x14ac:dyDescent="0.2">
      <c r="A1266" s="995"/>
      <c r="B1266" s="995"/>
      <c r="C1266" s="995"/>
      <c r="D1266" s="995"/>
      <c r="E1266" s="995"/>
      <c r="R1266" s="996"/>
      <c r="S1266" s="996"/>
      <c r="T1266" s="996"/>
      <c r="U1266" s="996"/>
      <c r="V1266" s="996"/>
      <c r="W1266" s="996"/>
      <c r="X1266" s="996"/>
      <c r="Y1266" s="996"/>
    </row>
    <row r="1267" spans="1:25" x14ac:dyDescent="0.2">
      <c r="A1267" s="995"/>
      <c r="B1267" s="995"/>
      <c r="C1267" s="995"/>
      <c r="D1267" s="995"/>
      <c r="E1267" s="995"/>
      <c r="R1267" s="996"/>
      <c r="S1267" s="996"/>
      <c r="T1267" s="996"/>
      <c r="U1267" s="996"/>
      <c r="V1267" s="996"/>
      <c r="W1267" s="996"/>
      <c r="X1267" s="996"/>
      <c r="Y1267" s="996"/>
    </row>
    <row r="1268" spans="1:25" x14ac:dyDescent="0.2">
      <c r="A1268" s="995"/>
      <c r="B1268" s="995"/>
      <c r="C1268" s="995"/>
      <c r="D1268" s="995"/>
      <c r="E1268" s="995"/>
      <c r="R1268" s="996"/>
      <c r="S1268" s="996"/>
      <c r="T1268" s="996"/>
      <c r="U1268" s="996"/>
      <c r="V1268" s="996"/>
      <c r="W1268" s="996"/>
      <c r="X1268" s="996"/>
      <c r="Y1268" s="996"/>
    </row>
    <row r="1269" spans="1:25" x14ac:dyDescent="0.2">
      <c r="A1269" s="995"/>
      <c r="B1269" s="995"/>
      <c r="C1269" s="995"/>
      <c r="D1269" s="995"/>
      <c r="E1269" s="995"/>
      <c r="R1269" s="996"/>
      <c r="S1269" s="996"/>
      <c r="T1269" s="996"/>
      <c r="U1269" s="996"/>
      <c r="V1269" s="996"/>
      <c r="W1269" s="996"/>
      <c r="X1269" s="996"/>
      <c r="Y1269" s="996"/>
    </row>
    <row r="1270" spans="1:25" x14ac:dyDescent="0.2">
      <c r="A1270" s="995"/>
      <c r="B1270" s="995"/>
      <c r="C1270" s="995"/>
      <c r="D1270" s="995"/>
      <c r="E1270" s="995"/>
      <c r="R1270" s="996"/>
      <c r="S1270" s="996"/>
      <c r="T1270" s="996"/>
      <c r="U1270" s="996"/>
      <c r="V1270" s="996"/>
      <c r="W1270" s="996"/>
      <c r="X1270" s="996"/>
      <c r="Y1270" s="996"/>
    </row>
    <row r="1271" spans="1:25" x14ac:dyDescent="0.2">
      <c r="A1271" s="995"/>
      <c r="B1271" s="995"/>
      <c r="C1271" s="995"/>
      <c r="D1271" s="995"/>
      <c r="E1271" s="995"/>
      <c r="R1271" s="996"/>
      <c r="S1271" s="996"/>
      <c r="T1271" s="996"/>
      <c r="U1271" s="996"/>
      <c r="V1271" s="996"/>
      <c r="W1271" s="996"/>
      <c r="X1271" s="996"/>
      <c r="Y1271" s="996"/>
    </row>
    <row r="1272" spans="1:25" x14ac:dyDescent="0.2">
      <c r="A1272" s="995"/>
      <c r="B1272" s="995"/>
      <c r="C1272" s="995"/>
      <c r="D1272" s="995"/>
      <c r="E1272" s="995"/>
      <c r="R1272" s="996"/>
      <c r="S1272" s="996"/>
      <c r="T1272" s="996"/>
      <c r="U1272" s="996"/>
      <c r="V1272" s="996"/>
      <c r="W1272" s="996"/>
      <c r="X1272" s="996"/>
      <c r="Y1272" s="996"/>
    </row>
    <row r="1273" spans="1:25" x14ac:dyDescent="0.2">
      <c r="A1273" s="995"/>
      <c r="B1273" s="995"/>
      <c r="C1273" s="995"/>
      <c r="D1273" s="995"/>
      <c r="E1273" s="995"/>
      <c r="R1273" s="996"/>
      <c r="S1273" s="996"/>
      <c r="T1273" s="996"/>
      <c r="U1273" s="996"/>
      <c r="V1273" s="996"/>
      <c r="W1273" s="996"/>
      <c r="X1273" s="996"/>
      <c r="Y1273" s="996"/>
    </row>
    <row r="1274" spans="1:25" x14ac:dyDescent="0.2">
      <c r="A1274" s="995"/>
      <c r="B1274" s="995"/>
      <c r="C1274" s="995"/>
      <c r="D1274" s="995"/>
      <c r="E1274" s="995"/>
      <c r="R1274" s="996"/>
      <c r="S1274" s="996"/>
      <c r="T1274" s="996"/>
      <c r="U1274" s="996"/>
      <c r="V1274" s="996"/>
      <c r="W1274" s="996"/>
      <c r="X1274" s="996"/>
      <c r="Y1274" s="996"/>
    </row>
    <row r="1275" spans="1:25" x14ac:dyDescent="0.2">
      <c r="A1275" s="995"/>
      <c r="B1275" s="995"/>
      <c r="C1275" s="995"/>
      <c r="D1275" s="995"/>
      <c r="E1275" s="995"/>
      <c r="R1275" s="996"/>
      <c r="S1275" s="996"/>
      <c r="T1275" s="996"/>
      <c r="U1275" s="996"/>
      <c r="V1275" s="996"/>
      <c r="W1275" s="996"/>
      <c r="X1275" s="996"/>
      <c r="Y1275" s="996"/>
    </row>
    <row r="1276" spans="1:25" x14ac:dyDescent="0.2">
      <c r="A1276" s="995"/>
      <c r="B1276" s="995"/>
      <c r="C1276" s="995"/>
      <c r="D1276" s="995"/>
      <c r="E1276" s="995"/>
      <c r="R1276" s="996"/>
      <c r="S1276" s="996"/>
      <c r="T1276" s="996"/>
      <c r="U1276" s="996"/>
      <c r="V1276" s="996"/>
      <c r="W1276" s="996"/>
      <c r="X1276" s="996"/>
      <c r="Y1276" s="996"/>
    </row>
    <row r="1277" spans="1:25" x14ac:dyDescent="0.2">
      <c r="A1277" s="995"/>
      <c r="B1277" s="995"/>
      <c r="C1277" s="995"/>
      <c r="D1277" s="995"/>
      <c r="E1277" s="995"/>
      <c r="R1277" s="996"/>
      <c r="S1277" s="996"/>
      <c r="T1277" s="996"/>
      <c r="U1277" s="996"/>
      <c r="V1277" s="996"/>
      <c r="W1277" s="996"/>
      <c r="X1277" s="996"/>
      <c r="Y1277" s="996"/>
    </row>
    <row r="1278" spans="1:25" x14ac:dyDescent="0.2">
      <c r="A1278" s="995"/>
      <c r="B1278" s="995"/>
      <c r="C1278" s="995"/>
      <c r="D1278" s="995"/>
      <c r="E1278" s="995"/>
      <c r="R1278" s="996"/>
      <c r="S1278" s="996"/>
      <c r="T1278" s="996"/>
      <c r="U1278" s="996"/>
      <c r="V1278" s="996"/>
      <c r="W1278" s="996"/>
      <c r="X1278" s="996"/>
      <c r="Y1278" s="996"/>
    </row>
    <row r="1279" spans="1:25" x14ac:dyDescent="0.2">
      <c r="A1279" s="995"/>
      <c r="B1279" s="995"/>
      <c r="C1279" s="995"/>
      <c r="D1279" s="995"/>
      <c r="E1279" s="995"/>
      <c r="R1279" s="996"/>
      <c r="S1279" s="996"/>
      <c r="T1279" s="996"/>
      <c r="U1279" s="996"/>
      <c r="V1279" s="996"/>
      <c r="W1279" s="996"/>
      <c r="X1279" s="996"/>
      <c r="Y1279" s="996"/>
    </row>
    <row r="1280" spans="1:25" x14ac:dyDescent="0.2">
      <c r="A1280" s="995"/>
      <c r="B1280" s="995"/>
      <c r="C1280" s="995"/>
      <c r="D1280" s="995"/>
      <c r="E1280" s="995"/>
      <c r="R1280" s="996"/>
      <c r="S1280" s="996"/>
      <c r="T1280" s="996"/>
      <c r="U1280" s="996"/>
      <c r="V1280" s="996"/>
      <c r="W1280" s="996"/>
      <c r="X1280" s="996"/>
      <c r="Y1280" s="996"/>
    </row>
    <row r="1281" spans="1:25" x14ac:dyDescent="0.2">
      <c r="A1281" s="995"/>
      <c r="B1281" s="995"/>
      <c r="C1281" s="995"/>
      <c r="D1281" s="995"/>
      <c r="E1281" s="995"/>
      <c r="R1281" s="996"/>
      <c r="S1281" s="996"/>
      <c r="T1281" s="996"/>
      <c r="U1281" s="996"/>
      <c r="V1281" s="996"/>
      <c r="W1281" s="996"/>
      <c r="X1281" s="996"/>
      <c r="Y1281" s="996"/>
    </row>
    <row r="1282" spans="1:25" x14ac:dyDescent="0.2">
      <c r="A1282" s="995"/>
      <c r="B1282" s="995"/>
      <c r="C1282" s="995"/>
      <c r="D1282" s="995"/>
      <c r="E1282" s="995"/>
      <c r="R1282" s="996"/>
      <c r="S1282" s="996"/>
      <c r="T1282" s="996"/>
      <c r="U1282" s="996"/>
      <c r="V1282" s="996"/>
      <c r="W1282" s="996"/>
      <c r="X1282" s="996"/>
      <c r="Y1282" s="996"/>
    </row>
    <row r="1283" spans="1:25" x14ac:dyDescent="0.2">
      <c r="A1283" s="995"/>
      <c r="B1283" s="995"/>
      <c r="C1283" s="995"/>
      <c r="D1283" s="995"/>
      <c r="E1283" s="995"/>
      <c r="R1283" s="996"/>
      <c r="S1283" s="996"/>
      <c r="T1283" s="996"/>
      <c r="U1283" s="996"/>
      <c r="V1283" s="996"/>
      <c r="W1283" s="996"/>
      <c r="X1283" s="996"/>
      <c r="Y1283" s="996"/>
    </row>
    <row r="1284" spans="1:25" x14ac:dyDescent="0.2">
      <c r="A1284" s="995"/>
      <c r="B1284" s="995"/>
      <c r="C1284" s="995"/>
      <c r="D1284" s="995"/>
      <c r="E1284" s="995"/>
      <c r="R1284" s="996"/>
      <c r="S1284" s="996"/>
      <c r="T1284" s="996"/>
      <c r="U1284" s="996"/>
      <c r="V1284" s="996"/>
      <c r="W1284" s="996"/>
      <c r="X1284" s="996"/>
      <c r="Y1284" s="996"/>
    </row>
    <row r="1285" spans="1:25" x14ac:dyDescent="0.2">
      <c r="A1285" s="995"/>
      <c r="B1285" s="995"/>
      <c r="C1285" s="995"/>
      <c r="D1285" s="995"/>
      <c r="E1285" s="995"/>
      <c r="R1285" s="996"/>
      <c r="S1285" s="996"/>
      <c r="T1285" s="996"/>
      <c r="U1285" s="996"/>
      <c r="V1285" s="996"/>
      <c r="W1285" s="996"/>
      <c r="X1285" s="996"/>
      <c r="Y1285" s="996"/>
    </row>
    <row r="1286" spans="1:25" x14ac:dyDescent="0.2">
      <c r="A1286" s="995"/>
      <c r="B1286" s="995"/>
      <c r="C1286" s="995"/>
      <c r="D1286" s="995"/>
      <c r="E1286" s="995"/>
      <c r="R1286" s="996"/>
      <c r="S1286" s="996"/>
      <c r="T1286" s="996"/>
      <c r="U1286" s="996"/>
      <c r="V1286" s="996"/>
      <c r="W1286" s="996"/>
      <c r="X1286" s="996"/>
      <c r="Y1286" s="996"/>
    </row>
    <row r="1287" spans="1:25" x14ac:dyDescent="0.2">
      <c r="A1287" s="995"/>
      <c r="B1287" s="995"/>
      <c r="C1287" s="995"/>
      <c r="D1287" s="995"/>
      <c r="E1287" s="995"/>
      <c r="R1287" s="996"/>
      <c r="S1287" s="996"/>
      <c r="T1287" s="996"/>
      <c r="U1287" s="996"/>
      <c r="V1287" s="996"/>
      <c r="W1287" s="996"/>
      <c r="X1287" s="996"/>
      <c r="Y1287" s="996"/>
    </row>
    <row r="1288" spans="1:25" x14ac:dyDescent="0.2">
      <c r="A1288" s="995"/>
      <c r="B1288" s="995"/>
      <c r="C1288" s="995"/>
      <c r="D1288" s="995"/>
      <c r="E1288" s="995"/>
      <c r="R1288" s="996"/>
      <c r="S1288" s="996"/>
      <c r="T1288" s="996"/>
      <c r="U1288" s="996"/>
      <c r="V1288" s="996"/>
      <c r="W1288" s="996"/>
      <c r="X1288" s="996"/>
      <c r="Y1288" s="996"/>
    </row>
    <row r="1289" spans="1:25" x14ac:dyDescent="0.2">
      <c r="A1289" s="995"/>
      <c r="B1289" s="995"/>
      <c r="C1289" s="995"/>
      <c r="D1289" s="995"/>
      <c r="E1289" s="995"/>
      <c r="R1289" s="996"/>
      <c r="S1289" s="996"/>
      <c r="T1289" s="996"/>
      <c r="U1289" s="996"/>
      <c r="V1289" s="996"/>
      <c r="W1289" s="996"/>
      <c r="X1289" s="996"/>
      <c r="Y1289" s="996"/>
    </row>
    <row r="1290" spans="1:25" x14ac:dyDescent="0.2">
      <c r="A1290" s="995"/>
      <c r="B1290" s="995"/>
      <c r="C1290" s="995"/>
      <c r="D1290" s="995"/>
      <c r="E1290" s="995"/>
      <c r="R1290" s="996"/>
      <c r="S1290" s="996"/>
      <c r="T1290" s="996"/>
      <c r="U1290" s="996"/>
      <c r="V1290" s="996"/>
      <c r="W1290" s="996"/>
      <c r="X1290" s="996"/>
      <c r="Y1290" s="996"/>
    </row>
    <row r="1291" spans="1:25" x14ac:dyDescent="0.2">
      <c r="A1291" s="995"/>
      <c r="B1291" s="995"/>
      <c r="C1291" s="995"/>
      <c r="D1291" s="995"/>
      <c r="E1291" s="995"/>
      <c r="R1291" s="996"/>
      <c r="S1291" s="996"/>
      <c r="T1291" s="996"/>
      <c r="U1291" s="996"/>
      <c r="V1291" s="996"/>
      <c r="W1291" s="996"/>
      <c r="X1291" s="996"/>
      <c r="Y1291" s="996"/>
    </row>
    <row r="1292" spans="1:25" x14ac:dyDescent="0.2">
      <c r="A1292" s="995"/>
      <c r="B1292" s="995"/>
      <c r="C1292" s="995"/>
      <c r="D1292" s="995"/>
      <c r="E1292" s="995"/>
      <c r="R1292" s="996"/>
      <c r="S1292" s="996"/>
      <c r="T1292" s="996"/>
      <c r="U1292" s="996"/>
      <c r="V1292" s="996"/>
      <c r="W1292" s="996"/>
      <c r="X1292" s="996"/>
      <c r="Y1292" s="996"/>
    </row>
    <row r="1293" spans="1:25" x14ac:dyDescent="0.2">
      <c r="A1293" s="995"/>
      <c r="B1293" s="995"/>
      <c r="C1293" s="995"/>
      <c r="D1293" s="995"/>
      <c r="E1293" s="995"/>
      <c r="R1293" s="996"/>
      <c r="S1293" s="996"/>
      <c r="T1293" s="996"/>
      <c r="U1293" s="996"/>
      <c r="V1293" s="996"/>
      <c r="W1293" s="996"/>
      <c r="X1293" s="996"/>
      <c r="Y1293" s="996"/>
    </row>
    <row r="1294" spans="1:25" x14ac:dyDescent="0.2">
      <c r="A1294" s="995"/>
      <c r="B1294" s="995"/>
      <c r="C1294" s="995"/>
      <c r="D1294" s="995"/>
      <c r="E1294" s="995"/>
      <c r="R1294" s="996"/>
      <c r="S1294" s="996"/>
      <c r="T1294" s="996"/>
      <c r="U1294" s="996"/>
      <c r="V1294" s="996"/>
      <c r="W1294" s="996"/>
      <c r="X1294" s="996"/>
      <c r="Y1294" s="996"/>
    </row>
    <row r="1295" spans="1:25" x14ac:dyDescent="0.2">
      <c r="A1295" s="995"/>
      <c r="B1295" s="995"/>
      <c r="C1295" s="995"/>
      <c r="D1295" s="995"/>
      <c r="E1295" s="995"/>
      <c r="R1295" s="996"/>
      <c r="S1295" s="996"/>
      <c r="T1295" s="996"/>
      <c r="U1295" s="996"/>
      <c r="V1295" s="996"/>
      <c r="W1295" s="996"/>
      <c r="X1295" s="996"/>
      <c r="Y1295" s="996"/>
    </row>
    <row r="1296" spans="1:25" x14ac:dyDescent="0.2">
      <c r="A1296" s="995"/>
      <c r="B1296" s="995"/>
      <c r="C1296" s="995"/>
      <c r="D1296" s="995"/>
      <c r="E1296" s="995"/>
      <c r="R1296" s="996"/>
      <c r="S1296" s="996"/>
      <c r="T1296" s="996"/>
      <c r="U1296" s="996"/>
      <c r="V1296" s="996"/>
      <c r="W1296" s="996"/>
      <c r="X1296" s="996"/>
      <c r="Y1296" s="996"/>
    </row>
    <row r="1297" spans="1:25" x14ac:dyDescent="0.2">
      <c r="A1297" s="995"/>
      <c r="B1297" s="995"/>
      <c r="C1297" s="995"/>
      <c r="D1297" s="995"/>
      <c r="E1297" s="995"/>
      <c r="R1297" s="996"/>
      <c r="S1297" s="996"/>
      <c r="T1297" s="996"/>
      <c r="U1297" s="996"/>
      <c r="V1297" s="996"/>
      <c r="W1297" s="996"/>
      <c r="X1297" s="996"/>
      <c r="Y1297" s="996"/>
    </row>
    <row r="1298" spans="1:25" x14ac:dyDescent="0.2">
      <c r="A1298" s="995"/>
      <c r="B1298" s="995"/>
      <c r="C1298" s="995"/>
      <c r="D1298" s="995"/>
      <c r="E1298" s="995"/>
      <c r="R1298" s="996"/>
      <c r="S1298" s="996"/>
      <c r="T1298" s="996"/>
      <c r="U1298" s="996"/>
      <c r="V1298" s="996"/>
      <c r="W1298" s="996"/>
      <c r="X1298" s="996"/>
      <c r="Y1298" s="996"/>
    </row>
    <row r="1299" spans="1:25" x14ac:dyDescent="0.2">
      <c r="A1299" s="995"/>
      <c r="B1299" s="995"/>
      <c r="C1299" s="995"/>
      <c r="D1299" s="995"/>
      <c r="E1299" s="995"/>
      <c r="R1299" s="996"/>
      <c r="S1299" s="996"/>
      <c r="T1299" s="996"/>
      <c r="U1299" s="996"/>
      <c r="V1299" s="996"/>
      <c r="W1299" s="996"/>
      <c r="X1299" s="996"/>
      <c r="Y1299" s="996"/>
    </row>
    <row r="1300" spans="1:25" x14ac:dyDescent="0.2">
      <c r="A1300" s="995"/>
      <c r="B1300" s="995"/>
      <c r="C1300" s="995"/>
      <c r="D1300" s="995"/>
      <c r="E1300" s="995"/>
      <c r="R1300" s="996"/>
      <c r="S1300" s="996"/>
      <c r="T1300" s="996"/>
      <c r="U1300" s="996"/>
      <c r="V1300" s="996"/>
      <c r="W1300" s="996"/>
      <c r="X1300" s="996"/>
      <c r="Y1300" s="996"/>
    </row>
    <row r="1301" spans="1:25" x14ac:dyDescent="0.2">
      <c r="A1301" s="995"/>
      <c r="B1301" s="995"/>
      <c r="C1301" s="995"/>
      <c r="D1301" s="995"/>
      <c r="E1301" s="995"/>
      <c r="R1301" s="996"/>
      <c r="S1301" s="996"/>
      <c r="T1301" s="996"/>
      <c r="U1301" s="996"/>
      <c r="V1301" s="996"/>
      <c r="W1301" s="996"/>
      <c r="X1301" s="996"/>
      <c r="Y1301" s="996"/>
    </row>
    <row r="1302" spans="1:25" x14ac:dyDescent="0.2">
      <c r="A1302" s="995"/>
      <c r="B1302" s="995"/>
      <c r="C1302" s="995"/>
      <c r="D1302" s="995"/>
      <c r="E1302" s="995"/>
      <c r="R1302" s="996"/>
      <c r="S1302" s="996"/>
      <c r="T1302" s="996"/>
      <c r="U1302" s="996"/>
      <c r="V1302" s="996"/>
      <c r="W1302" s="996"/>
      <c r="X1302" s="996"/>
      <c r="Y1302" s="996"/>
    </row>
    <row r="1303" spans="1:25" x14ac:dyDescent="0.2">
      <c r="A1303" s="995"/>
      <c r="B1303" s="995"/>
      <c r="C1303" s="995"/>
      <c r="D1303" s="995"/>
      <c r="E1303" s="995"/>
      <c r="R1303" s="996"/>
      <c r="S1303" s="996"/>
      <c r="T1303" s="996"/>
      <c r="U1303" s="996"/>
      <c r="V1303" s="996"/>
      <c r="W1303" s="996"/>
      <c r="X1303" s="996"/>
      <c r="Y1303" s="996"/>
    </row>
    <row r="1304" spans="1:25" x14ac:dyDescent="0.2">
      <c r="A1304" s="995"/>
      <c r="B1304" s="995"/>
      <c r="C1304" s="995"/>
      <c r="D1304" s="995"/>
      <c r="E1304" s="995"/>
      <c r="R1304" s="996"/>
      <c r="S1304" s="996"/>
      <c r="T1304" s="996"/>
      <c r="U1304" s="996"/>
      <c r="V1304" s="996"/>
      <c r="W1304" s="996"/>
      <c r="X1304" s="996"/>
      <c r="Y1304" s="996"/>
    </row>
    <row r="1305" spans="1:25" x14ac:dyDescent="0.2">
      <c r="A1305" s="995"/>
      <c r="B1305" s="995"/>
      <c r="C1305" s="995"/>
      <c r="D1305" s="995"/>
      <c r="E1305" s="995"/>
      <c r="R1305" s="996"/>
      <c r="S1305" s="996"/>
      <c r="T1305" s="996"/>
      <c r="U1305" s="996"/>
      <c r="V1305" s="996"/>
      <c r="W1305" s="996"/>
      <c r="X1305" s="996"/>
      <c r="Y1305" s="996"/>
    </row>
    <row r="1306" spans="1:25" x14ac:dyDescent="0.2">
      <c r="A1306" s="995"/>
      <c r="B1306" s="995"/>
      <c r="C1306" s="995"/>
      <c r="D1306" s="995"/>
      <c r="E1306" s="995"/>
      <c r="R1306" s="996"/>
      <c r="S1306" s="996"/>
      <c r="T1306" s="996"/>
      <c r="U1306" s="996"/>
      <c r="V1306" s="996"/>
      <c r="W1306" s="996"/>
      <c r="X1306" s="996"/>
      <c r="Y1306" s="996"/>
    </row>
    <row r="1307" spans="1:25" x14ac:dyDescent="0.2">
      <c r="A1307" s="995"/>
      <c r="B1307" s="995"/>
      <c r="C1307" s="995"/>
      <c r="D1307" s="995"/>
      <c r="E1307" s="995"/>
      <c r="R1307" s="996"/>
      <c r="S1307" s="996"/>
      <c r="T1307" s="996"/>
      <c r="U1307" s="996"/>
      <c r="V1307" s="996"/>
      <c r="W1307" s="996"/>
      <c r="X1307" s="996"/>
      <c r="Y1307" s="996"/>
    </row>
    <row r="1308" spans="1:25" x14ac:dyDescent="0.2">
      <c r="A1308" s="995"/>
      <c r="B1308" s="995"/>
      <c r="C1308" s="995"/>
      <c r="D1308" s="995"/>
      <c r="E1308" s="995"/>
      <c r="R1308" s="996"/>
      <c r="S1308" s="996"/>
      <c r="T1308" s="996"/>
      <c r="U1308" s="996"/>
      <c r="V1308" s="996"/>
      <c r="W1308" s="996"/>
      <c r="X1308" s="996"/>
      <c r="Y1308" s="996"/>
    </row>
    <row r="1309" spans="1:25" x14ac:dyDescent="0.2">
      <c r="A1309" s="995"/>
      <c r="B1309" s="995"/>
      <c r="C1309" s="995"/>
      <c r="D1309" s="995"/>
      <c r="E1309" s="995"/>
      <c r="R1309" s="996"/>
      <c r="S1309" s="996"/>
      <c r="T1309" s="996"/>
      <c r="U1309" s="996"/>
      <c r="V1309" s="996"/>
      <c r="W1309" s="996"/>
      <c r="X1309" s="996"/>
      <c r="Y1309" s="996"/>
    </row>
    <row r="1310" spans="1:25" x14ac:dyDescent="0.2">
      <c r="A1310" s="995"/>
      <c r="B1310" s="995"/>
      <c r="C1310" s="995"/>
      <c r="D1310" s="995"/>
      <c r="E1310" s="995"/>
      <c r="R1310" s="996"/>
      <c r="S1310" s="996"/>
      <c r="T1310" s="996"/>
      <c r="U1310" s="996"/>
      <c r="V1310" s="996"/>
      <c r="W1310" s="996"/>
      <c r="X1310" s="996"/>
      <c r="Y1310" s="996"/>
    </row>
    <row r="1311" spans="1:25" x14ac:dyDescent="0.2">
      <c r="A1311" s="995"/>
      <c r="B1311" s="995"/>
      <c r="C1311" s="995"/>
      <c r="D1311" s="995"/>
      <c r="E1311" s="995"/>
      <c r="R1311" s="996"/>
      <c r="S1311" s="996"/>
      <c r="T1311" s="996"/>
      <c r="U1311" s="996"/>
      <c r="V1311" s="996"/>
      <c r="W1311" s="996"/>
      <c r="X1311" s="996"/>
      <c r="Y1311" s="996"/>
    </row>
    <row r="1312" spans="1:25" x14ac:dyDescent="0.2">
      <c r="A1312" s="995"/>
      <c r="B1312" s="995"/>
      <c r="C1312" s="995"/>
      <c r="D1312" s="995"/>
      <c r="E1312" s="995"/>
      <c r="R1312" s="996"/>
      <c r="S1312" s="996"/>
      <c r="T1312" s="996"/>
      <c r="U1312" s="996"/>
      <c r="V1312" s="996"/>
      <c r="W1312" s="996"/>
      <c r="X1312" s="996"/>
      <c r="Y1312" s="996"/>
    </row>
    <row r="1313" spans="1:25" x14ac:dyDescent="0.2">
      <c r="A1313" s="995"/>
      <c r="B1313" s="995"/>
      <c r="C1313" s="995"/>
      <c r="D1313" s="995"/>
      <c r="E1313" s="995"/>
      <c r="R1313" s="996"/>
      <c r="S1313" s="996"/>
      <c r="T1313" s="996"/>
      <c r="U1313" s="996"/>
      <c r="V1313" s="996"/>
      <c r="W1313" s="996"/>
      <c r="X1313" s="996"/>
      <c r="Y1313" s="996"/>
    </row>
    <row r="1314" spans="1:25" x14ac:dyDescent="0.2">
      <c r="A1314" s="995"/>
      <c r="B1314" s="995"/>
      <c r="C1314" s="995"/>
      <c r="D1314" s="995"/>
      <c r="E1314" s="995"/>
      <c r="R1314" s="996"/>
      <c r="S1314" s="996"/>
      <c r="T1314" s="996"/>
      <c r="U1314" s="996"/>
      <c r="V1314" s="996"/>
      <c r="W1314" s="996"/>
      <c r="X1314" s="996"/>
      <c r="Y1314" s="996"/>
    </row>
    <row r="1315" spans="1:25" x14ac:dyDescent="0.2">
      <c r="A1315" s="995"/>
      <c r="B1315" s="995"/>
      <c r="C1315" s="995"/>
      <c r="D1315" s="995"/>
      <c r="E1315" s="995"/>
      <c r="R1315" s="996"/>
      <c r="S1315" s="996"/>
      <c r="T1315" s="996"/>
      <c r="U1315" s="996"/>
      <c r="V1315" s="996"/>
      <c r="W1315" s="996"/>
      <c r="X1315" s="996"/>
      <c r="Y1315" s="996"/>
    </row>
    <row r="1316" spans="1:25" x14ac:dyDescent="0.2">
      <c r="A1316" s="995"/>
      <c r="B1316" s="995"/>
      <c r="C1316" s="995"/>
      <c r="D1316" s="995"/>
      <c r="E1316" s="995"/>
      <c r="R1316" s="996"/>
      <c r="S1316" s="996"/>
      <c r="T1316" s="996"/>
      <c r="U1316" s="996"/>
      <c r="V1316" s="996"/>
      <c r="W1316" s="996"/>
      <c r="X1316" s="996"/>
      <c r="Y1316" s="996"/>
    </row>
    <row r="1317" spans="1:25" x14ac:dyDescent="0.2">
      <c r="A1317" s="995"/>
      <c r="B1317" s="995"/>
      <c r="C1317" s="995"/>
      <c r="D1317" s="995"/>
      <c r="E1317" s="995"/>
      <c r="R1317" s="996"/>
      <c r="S1317" s="996"/>
      <c r="T1317" s="996"/>
      <c r="U1317" s="996"/>
      <c r="V1317" s="996"/>
      <c r="W1317" s="996"/>
      <c r="X1317" s="996"/>
      <c r="Y1317" s="996"/>
    </row>
    <row r="1318" spans="1:25" x14ac:dyDescent="0.2">
      <c r="A1318" s="995"/>
      <c r="B1318" s="995"/>
      <c r="C1318" s="995"/>
      <c r="D1318" s="995"/>
      <c r="E1318" s="995"/>
      <c r="R1318" s="996"/>
      <c r="S1318" s="996"/>
      <c r="T1318" s="996"/>
      <c r="U1318" s="996"/>
      <c r="V1318" s="996"/>
      <c r="W1318" s="996"/>
      <c r="X1318" s="996"/>
      <c r="Y1318" s="996"/>
    </row>
    <row r="1319" spans="1:25" x14ac:dyDescent="0.2">
      <c r="A1319" s="995"/>
      <c r="B1319" s="995"/>
      <c r="C1319" s="995"/>
      <c r="D1319" s="995"/>
      <c r="E1319" s="995"/>
      <c r="R1319" s="996"/>
      <c r="S1319" s="996"/>
      <c r="T1319" s="996"/>
      <c r="U1319" s="996"/>
      <c r="V1319" s="996"/>
      <c r="W1319" s="996"/>
      <c r="X1319" s="996"/>
      <c r="Y1319" s="996"/>
    </row>
    <row r="1320" spans="1:25" x14ac:dyDescent="0.2">
      <c r="A1320" s="995"/>
      <c r="B1320" s="995"/>
      <c r="C1320" s="995"/>
      <c r="D1320" s="995"/>
      <c r="E1320" s="995"/>
      <c r="R1320" s="996"/>
      <c r="S1320" s="996"/>
      <c r="T1320" s="996"/>
      <c r="U1320" s="996"/>
      <c r="V1320" s="996"/>
      <c r="W1320" s="996"/>
      <c r="X1320" s="996"/>
      <c r="Y1320" s="996"/>
    </row>
    <row r="1321" spans="1:25" x14ac:dyDescent="0.2">
      <c r="A1321" s="995"/>
      <c r="B1321" s="995"/>
      <c r="C1321" s="995"/>
      <c r="D1321" s="995"/>
      <c r="E1321" s="995"/>
      <c r="R1321" s="996"/>
      <c r="S1321" s="996"/>
      <c r="T1321" s="996"/>
      <c r="U1321" s="996"/>
      <c r="V1321" s="996"/>
      <c r="W1321" s="996"/>
      <c r="X1321" s="996"/>
      <c r="Y1321" s="996"/>
    </row>
    <row r="1322" spans="1:25" x14ac:dyDescent="0.2">
      <c r="A1322" s="995"/>
      <c r="B1322" s="995"/>
      <c r="C1322" s="995"/>
      <c r="D1322" s="995"/>
      <c r="E1322" s="995"/>
      <c r="R1322" s="996"/>
      <c r="S1322" s="996"/>
      <c r="T1322" s="996"/>
      <c r="U1322" s="996"/>
      <c r="V1322" s="996"/>
      <c r="W1322" s="996"/>
      <c r="X1322" s="996"/>
      <c r="Y1322" s="996"/>
    </row>
    <row r="1323" spans="1:25" x14ac:dyDescent="0.2">
      <c r="A1323" s="995"/>
      <c r="B1323" s="995"/>
      <c r="C1323" s="995"/>
      <c r="D1323" s="995"/>
      <c r="E1323" s="995"/>
      <c r="R1323" s="996"/>
      <c r="S1323" s="996"/>
      <c r="T1323" s="996"/>
      <c r="U1323" s="996"/>
      <c r="V1323" s="996"/>
      <c r="W1323" s="996"/>
      <c r="X1323" s="996"/>
      <c r="Y1323" s="996"/>
    </row>
    <row r="1324" spans="1:25" x14ac:dyDescent="0.2">
      <c r="A1324" s="995"/>
      <c r="B1324" s="995"/>
      <c r="C1324" s="995"/>
      <c r="D1324" s="995"/>
      <c r="E1324" s="995"/>
      <c r="R1324" s="996"/>
      <c r="S1324" s="996"/>
      <c r="T1324" s="996"/>
      <c r="U1324" s="996"/>
      <c r="V1324" s="996"/>
      <c r="W1324" s="996"/>
      <c r="X1324" s="996"/>
      <c r="Y1324" s="996"/>
    </row>
    <row r="1325" spans="1:25" x14ac:dyDescent="0.2">
      <c r="A1325" s="995"/>
      <c r="B1325" s="995"/>
      <c r="C1325" s="995"/>
      <c r="D1325" s="995"/>
      <c r="E1325" s="995"/>
      <c r="R1325" s="996"/>
      <c r="S1325" s="996"/>
      <c r="T1325" s="996"/>
      <c r="U1325" s="996"/>
      <c r="V1325" s="996"/>
      <c r="W1325" s="996"/>
      <c r="X1325" s="996"/>
      <c r="Y1325" s="996"/>
    </row>
    <row r="1326" spans="1:25" x14ac:dyDescent="0.2">
      <c r="A1326" s="995"/>
      <c r="B1326" s="995"/>
      <c r="C1326" s="995"/>
      <c r="D1326" s="995"/>
      <c r="E1326" s="995"/>
      <c r="R1326" s="996"/>
      <c r="S1326" s="996"/>
      <c r="T1326" s="996"/>
      <c r="U1326" s="996"/>
      <c r="V1326" s="996"/>
      <c r="W1326" s="996"/>
      <c r="X1326" s="996"/>
      <c r="Y1326" s="996"/>
    </row>
    <row r="1327" spans="1:25" x14ac:dyDescent="0.2">
      <c r="A1327" s="995"/>
      <c r="B1327" s="995"/>
      <c r="C1327" s="995"/>
      <c r="D1327" s="995"/>
      <c r="E1327" s="995"/>
      <c r="R1327" s="996"/>
      <c r="S1327" s="996"/>
      <c r="T1327" s="996"/>
      <c r="U1327" s="996"/>
      <c r="V1327" s="996"/>
      <c r="W1327" s="996"/>
      <c r="X1327" s="996"/>
      <c r="Y1327" s="996"/>
    </row>
    <row r="1328" spans="1:25" x14ac:dyDescent="0.2">
      <c r="A1328" s="995"/>
      <c r="B1328" s="995"/>
      <c r="C1328" s="995"/>
      <c r="D1328" s="995"/>
      <c r="E1328" s="995"/>
      <c r="R1328" s="996"/>
      <c r="S1328" s="996"/>
      <c r="T1328" s="996"/>
      <c r="U1328" s="996"/>
      <c r="V1328" s="996"/>
      <c r="W1328" s="996"/>
      <c r="X1328" s="996"/>
      <c r="Y1328" s="996"/>
    </row>
    <row r="1329" spans="1:25" x14ac:dyDescent="0.2">
      <c r="A1329" s="995"/>
      <c r="B1329" s="995"/>
      <c r="C1329" s="995"/>
      <c r="D1329" s="995"/>
      <c r="E1329" s="995"/>
      <c r="R1329" s="996"/>
      <c r="S1329" s="996"/>
      <c r="T1329" s="996"/>
      <c r="U1329" s="996"/>
      <c r="V1329" s="996"/>
      <c r="W1329" s="996"/>
      <c r="X1329" s="996"/>
      <c r="Y1329" s="996"/>
    </row>
    <row r="1330" spans="1:25" x14ac:dyDescent="0.2">
      <c r="A1330" s="995"/>
      <c r="B1330" s="995"/>
      <c r="C1330" s="995"/>
      <c r="D1330" s="995"/>
      <c r="E1330" s="995"/>
      <c r="R1330" s="996"/>
      <c r="S1330" s="996"/>
      <c r="T1330" s="996"/>
      <c r="U1330" s="996"/>
      <c r="V1330" s="996"/>
      <c r="W1330" s="996"/>
      <c r="X1330" s="996"/>
      <c r="Y1330" s="996"/>
    </row>
    <row r="1331" spans="1:25" x14ac:dyDescent="0.2">
      <c r="A1331" s="995"/>
      <c r="B1331" s="995"/>
      <c r="C1331" s="995"/>
      <c r="D1331" s="995"/>
      <c r="E1331" s="995"/>
      <c r="R1331" s="996"/>
      <c r="S1331" s="996"/>
      <c r="T1331" s="996"/>
      <c r="U1331" s="996"/>
      <c r="V1331" s="996"/>
      <c r="W1331" s="996"/>
      <c r="X1331" s="996"/>
      <c r="Y1331" s="996"/>
    </row>
    <row r="1332" spans="1:25" x14ac:dyDescent="0.2">
      <c r="A1332" s="995"/>
      <c r="B1332" s="995"/>
      <c r="C1332" s="995"/>
      <c r="D1332" s="995"/>
      <c r="E1332" s="995"/>
      <c r="R1332" s="996"/>
      <c r="S1332" s="996"/>
      <c r="T1332" s="996"/>
      <c r="U1332" s="996"/>
      <c r="V1332" s="996"/>
      <c r="W1332" s="996"/>
      <c r="X1332" s="996"/>
      <c r="Y1332" s="996"/>
    </row>
    <row r="1333" spans="1:25" x14ac:dyDescent="0.2">
      <c r="A1333" s="995"/>
      <c r="B1333" s="995"/>
      <c r="C1333" s="995"/>
      <c r="D1333" s="995"/>
      <c r="E1333" s="995"/>
      <c r="R1333" s="996"/>
      <c r="S1333" s="996"/>
      <c r="T1333" s="996"/>
      <c r="U1333" s="996"/>
      <c r="V1333" s="996"/>
      <c r="W1333" s="996"/>
      <c r="X1333" s="996"/>
      <c r="Y1333" s="996"/>
    </row>
    <row r="1334" spans="1:25" x14ac:dyDescent="0.2">
      <c r="A1334" s="995"/>
      <c r="B1334" s="995"/>
      <c r="C1334" s="995"/>
      <c r="D1334" s="995"/>
      <c r="E1334" s="995"/>
      <c r="R1334" s="996"/>
      <c r="S1334" s="996"/>
      <c r="T1334" s="996"/>
      <c r="U1334" s="996"/>
      <c r="V1334" s="996"/>
      <c r="W1334" s="996"/>
      <c r="X1334" s="996"/>
      <c r="Y1334" s="996"/>
    </row>
    <row r="1335" spans="1:25" x14ac:dyDescent="0.2">
      <c r="A1335" s="995"/>
      <c r="B1335" s="995"/>
      <c r="C1335" s="995"/>
      <c r="D1335" s="995"/>
      <c r="E1335" s="995"/>
      <c r="R1335" s="996"/>
      <c r="S1335" s="996"/>
      <c r="T1335" s="996"/>
      <c r="U1335" s="996"/>
      <c r="V1335" s="996"/>
      <c r="W1335" s="996"/>
      <c r="X1335" s="996"/>
      <c r="Y1335" s="996"/>
    </row>
    <row r="1336" spans="1:25" x14ac:dyDescent="0.2">
      <c r="A1336" s="995"/>
      <c r="B1336" s="995"/>
      <c r="C1336" s="995"/>
      <c r="D1336" s="995"/>
      <c r="E1336" s="995"/>
      <c r="R1336" s="996"/>
      <c r="S1336" s="996"/>
      <c r="T1336" s="996"/>
      <c r="U1336" s="996"/>
      <c r="V1336" s="996"/>
      <c r="W1336" s="996"/>
      <c r="X1336" s="996"/>
      <c r="Y1336" s="996"/>
    </row>
    <row r="1337" spans="1:25" x14ac:dyDescent="0.2">
      <c r="A1337" s="995"/>
      <c r="B1337" s="995"/>
      <c r="C1337" s="995"/>
      <c r="D1337" s="995"/>
      <c r="E1337" s="995"/>
      <c r="R1337" s="996"/>
      <c r="S1337" s="996"/>
      <c r="T1337" s="996"/>
      <c r="U1337" s="996"/>
      <c r="V1337" s="996"/>
      <c r="W1337" s="996"/>
      <c r="X1337" s="996"/>
      <c r="Y1337" s="996"/>
    </row>
    <row r="1338" spans="1:25" x14ac:dyDescent="0.2">
      <c r="A1338" s="995"/>
      <c r="B1338" s="995"/>
      <c r="C1338" s="995"/>
      <c r="D1338" s="995"/>
      <c r="E1338" s="995"/>
      <c r="R1338" s="996"/>
      <c r="S1338" s="996"/>
      <c r="T1338" s="996"/>
      <c r="U1338" s="996"/>
      <c r="V1338" s="996"/>
      <c r="W1338" s="996"/>
      <c r="X1338" s="996"/>
      <c r="Y1338" s="996"/>
    </row>
    <row r="1339" spans="1:25" x14ac:dyDescent="0.2">
      <c r="A1339" s="995"/>
      <c r="B1339" s="995"/>
      <c r="C1339" s="995"/>
      <c r="D1339" s="995"/>
      <c r="E1339" s="995"/>
      <c r="R1339" s="996"/>
      <c r="S1339" s="996"/>
      <c r="T1339" s="996"/>
      <c r="U1339" s="996"/>
      <c r="V1339" s="996"/>
      <c r="W1339" s="996"/>
      <c r="X1339" s="996"/>
      <c r="Y1339" s="996"/>
    </row>
    <row r="1340" spans="1:25" x14ac:dyDescent="0.2">
      <c r="A1340" s="995"/>
      <c r="B1340" s="995"/>
      <c r="C1340" s="995"/>
      <c r="D1340" s="995"/>
      <c r="E1340" s="995"/>
      <c r="R1340" s="996"/>
      <c r="S1340" s="996"/>
      <c r="T1340" s="996"/>
      <c r="U1340" s="996"/>
      <c r="V1340" s="996"/>
      <c r="W1340" s="996"/>
      <c r="X1340" s="996"/>
      <c r="Y1340" s="996"/>
    </row>
    <row r="1341" spans="1:25" x14ac:dyDescent="0.2">
      <c r="A1341" s="995"/>
      <c r="B1341" s="995"/>
      <c r="C1341" s="995"/>
      <c r="D1341" s="995"/>
      <c r="E1341" s="995"/>
      <c r="R1341" s="996"/>
      <c r="S1341" s="996"/>
      <c r="T1341" s="996"/>
      <c r="U1341" s="996"/>
      <c r="V1341" s="996"/>
      <c r="W1341" s="996"/>
      <c r="X1341" s="996"/>
      <c r="Y1341" s="996"/>
    </row>
    <row r="1342" spans="1:25" x14ac:dyDescent="0.2">
      <c r="A1342" s="995"/>
      <c r="B1342" s="995"/>
      <c r="C1342" s="995"/>
      <c r="D1342" s="995"/>
      <c r="E1342" s="995"/>
      <c r="R1342" s="996"/>
      <c r="S1342" s="996"/>
      <c r="T1342" s="996"/>
      <c r="U1342" s="996"/>
      <c r="V1342" s="996"/>
      <c r="W1342" s="996"/>
      <c r="X1342" s="996"/>
      <c r="Y1342" s="996"/>
    </row>
    <row r="1343" spans="1:25" x14ac:dyDescent="0.2">
      <c r="A1343" s="995"/>
      <c r="B1343" s="995"/>
      <c r="C1343" s="995"/>
      <c r="D1343" s="995"/>
      <c r="E1343" s="995"/>
      <c r="R1343" s="996"/>
      <c r="S1343" s="996"/>
      <c r="T1343" s="996"/>
      <c r="U1343" s="996"/>
      <c r="V1343" s="996"/>
      <c r="W1343" s="996"/>
      <c r="X1343" s="996"/>
      <c r="Y1343" s="996"/>
    </row>
    <row r="1344" spans="1:25" x14ac:dyDescent="0.2">
      <c r="A1344" s="995"/>
      <c r="B1344" s="995"/>
      <c r="C1344" s="995"/>
      <c r="D1344" s="995"/>
      <c r="E1344" s="995"/>
      <c r="R1344" s="996"/>
      <c r="S1344" s="996"/>
      <c r="T1344" s="996"/>
      <c r="U1344" s="996"/>
      <c r="V1344" s="996"/>
      <c r="W1344" s="996"/>
      <c r="X1344" s="996"/>
      <c r="Y1344" s="996"/>
    </row>
    <row r="1345" spans="1:25" x14ac:dyDescent="0.2">
      <c r="A1345" s="995"/>
      <c r="B1345" s="995"/>
      <c r="C1345" s="995"/>
      <c r="D1345" s="995"/>
      <c r="E1345" s="995"/>
      <c r="R1345" s="996"/>
      <c r="S1345" s="996"/>
      <c r="T1345" s="996"/>
      <c r="U1345" s="996"/>
      <c r="V1345" s="996"/>
      <c r="W1345" s="996"/>
      <c r="X1345" s="996"/>
      <c r="Y1345" s="996"/>
    </row>
    <row r="1346" spans="1:25" x14ac:dyDescent="0.2">
      <c r="A1346" s="995"/>
      <c r="B1346" s="995"/>
      <c r="C1346" s="995"/>
      <c r="D1346" s="995"/>
      <c r="E1346" s="995"/>
      <c r="R1346" s="996"/>
      <c r="S1346" s="996"/>
      <c r="T1346" s="996"/>
      <c r="U1346" s="996"/>
      <c r="V1346" s="996"/>
      <c r="W1346" s="996"/>
      <c r="X1346" s="996"/>
      <c r="Y1346" s="996"/>
    </row>
    <row r="1347" spans="1:25" x14ac:dyDescent="0.2">
      <c r="A1347" s="995"/>
      <c r="B1347" s="995"/>
      <c r="C1347" s="995"/>
      <c r="D1347" s="995"/>
      <c r="E1347" s="995"/>
      <c r="R1347" s="996"/>
      <c r="S1347" s="996"/>
      <c r="T1347" s="996"/>
      <c r="U1347" s="996"/>
      <c r="V1347" s="996"/>
      <c r="W1347" s="996"/>
      <c r="X1347" s="996"/>
      <c r="Y1347" s="996"/>
    </row>
    <row r="1348" spans="1:25" x14ac:dyDescent="0.2">
      <c r="A1348" s="995"/>
      <c r="B1348" s="995"/>
      <c r="C1348" s="995"/>
      <c r="D1348" s="995"/>
      <c r="E1348" s="995"/>
      <c r="R1348" s="996"/>
      <c r="S1348" s="996"/>
      <c r="T1348" s="996"/>
      <c r="U1348" s="996"/>
      <c r="V1348" s="996"/>
      <c r="W1348" s="996"/>
      <c r="X1348" s="996"/>
      <c r="Y1348" s="996"/>
    </row>
    <row r="1349" spans="1:25" x14ac:dyDescent="0.2">
      <c r="A1349" s="995"/>
      <c r="B1349" s="995"/>
      <c r="C1349" s="995"/>
      <c r="D1349" s="995"/>
      <c r="E1349" s="995"/>
      <c r="R1349" s="996"/>
      <c r="S1349" s="996"/>
      <c r="T1349" s="996"/>
      <c r="U1349" s="996"/>
      <c r="V1349" s="996"/>
      <c r="W1349" s="996"/>
      <c r="X1349" s="996"/>
      <c r="Y1349" s="996"/>
    </row>
    <row r="1350" spans="1:25" x14ac:dyDescent="0.2">
      <c r="A1350" s="995"/>
      <c r="B1350" s="995"/>
      <c r="C1350" s="995"/>
      <c r="D1350" s="995"/>
      <c r="E1350" s="995"/>
      <c r="R1350" s="996"/>
      <c r="S1350" s="996"/>
      <c r="T1350" s="996"/>
      <c r="U1350" s="996"/>
      <c r="V1350" s="996"/>
      <c r="W1350" s="996"/>
      <c r="X1350" s="996"/>
      <c r="Y1350" s="996"/>
    </row>
    <row r="1351" spans="1:25" x14ac:dyDescent="0.2">
      <c r="A1351" s="995"/>
      <c r="B1351" s="995"/>
      <c r="C1351" s="995"/>
      <c r="D1351" s="995"/>
      <c r="E1351" s="995"/>
      <c r="R1351" s="996"/>
      <c r="S1351" s="996"/>
      <c r="T1351" s="996"/>
      <c r="U1351" s="996"/>
      <c r="V1351" s="996"/>
      <c r="W1351" s="996"/>
      <c r="X1351" s="996"/>
      <c r="Y1351" s="996"/>
    </row>
    <row r="1352" spans="1:25" x14ac:dyDescent="0.2">
      <c r="A1352" s="995"/>
      <c r="B1352" s="995"/>
      <c r="C1352" s="995"/>
      <c r="D1352" s="995"/>
      <c r="E1352" s="995"/>
      <c r="R1352" s="996"/>
      <c r="S1352" s="996"/>
      <c r="T1352" s="996"/>
      <c r="U1352" s="996"/>
      <c r="V1352" s="996"/>
      <c r="W1352" s="996"/>
      <c r="X1352" s="996"/>
      <c r="Y1352" s="996"/>
    </row>
    <row r="1353" spans="1:25" x14ac:dyDescent="0.2">
      <c r="A1353" s="995"/>
      <c r="B1353" s="995"/>
      <c r="C1353" s="995"/>
      <c r="D1353" s="995"/>
      <c r="E1353" s="995"/>
      <c r="R1353" s="996"/>
      <c r="S1353" s="996"/>
      <c r="T1353" s="996"/>
      <c r="U1353" s="996"/>
      <c r="V1353" s="996"/>
      <c r="W1353" s="996"/>
      <c r="X1353" s="996"/>
      <c r="Y1353" s="996"/>
    </row>
    <row r="1354" spans="1:25" x14ac:dyDescent="0.2">
      <c r="A1354" s="995"/>
      <c r="B1354" s="995"/>
      <c r="C1354" s="995"/>
      <c r="D1354" s="995"/>
      <c r="E1354" s="995"/>
      <c r="R1354" s="996"/>
      <c r="S1354" s="996"/>
      <c r="T1354" s="996"/>
      <c r="U1354" s="996"/>
      <c r="V1354" s="996"/>
      <c r="W1354" s="996"/>
      <c r="X1354" s="996"/>
      <c r="Y1354" s="996"/>
    </row>
    <row r="1355" spans="1:25" x14ac:dyDescent="0.2">
      <c r="A1355" s="995"/>
      <c r="B1355" s="995"/>
      <c r="C1355" s="995"/>
      <c r="D1355" s="995"/>
      <c r="E1355" s="995"/>
      <c r="R1355" s="996"/>
      <c r="S1355" s="996"/>
      <c r="T1355" s="996"/>
      <c r="U1355" s="996"/>
      <c r="V1355" s="996"/>
      <c r="W1355" s="996"/>
      <c r="X1355" s="996"/>
      <c r="Y1355" s="996"/>
    </row>
    <row r="1356" spans="1:25" x14ac:dyDescent="0.2">
      <c r="A1356" s="995"/>
      <c r="B1356" s="995"/>
      <c r="C1356" s="995"/>
      <c r="D1356" s="995"/>
      <c r="E1356" s="995"/>
      <c r="R1356" s="996"/>
      <c r="S1356" s="996"/>
      <c r="T1356" s="996"/>
      <c r="U1356" s="996"/>
      <c r="V1356" s="996"/>
      <c r="W1356" s="996"/>
      <c r="X1356" s="996"/>
      <c r="Y1356" s="996"/>
    </row>
    <row r="1357" spans="1:25" x14ac:dyDescent="0.2">
      <c r="A1357" s="995"/>
      <c r="B1357" s="995"/>
      <c r="C1357" s="995"/>
      <c r="D1357" s="995"/>
      <c r="E1357" s="995"/>
      <c r="R1357" s="996"/>
      <c r="S1357" s="996"/>
      <c r="T1357" s="996"/>
      <c r="U1357" s="996"/>
      <c r="V1357" s="996"/>
      <c r="W1357" s="996"/>
      <c r="X1357" s="996"/>
      <c r="Y1357" s="996"/>
    </row>
    <row r="1358" spans="1:25" x14ac:dyDescent="0.2">
      <c r="A1358" s="995"/>
      <c r="B1358" s="995"/>
      <c r="C1358" s="995"/>
      <c r="D1358" s="995"/>
      <c r="E1358" s="995"/>
      <c r="R1358" s="996"/>
      <c r="S1358" s="996"/>
      <c r="T1358" s="996"/>
      <c r="U1358" s="996"/>
      <c r="V1358" s="996"/>
      <c r="W1358" s="996"/>
      <c r="X1358" s="996"/>
      <c r="Y1358" s="996"/>
    </row>
    <row r="1359" spans="1:25" x14ac:dyDescent="0.2">
      <c r="A1359" s="995"/>
      <c r="B1359" s="995"/>
      <c r="C1359" s="995"/>
      <c r="D1359" s="995"/>
      <c r="E1359" s="995"/>
      <c r="R1359" s="996"/>
      <c r="S1359" s="996"/>
      <c r="T1359" s="996"/>
      <c r="U1359" s="996"/>
      <c r="V1359" s="996"/>
      <c r="W1359" s="996"/>
      <c r="X1359" s="996"/>
      <c r="Y1359" s="996"/>
    </row>
    <row r="1360" spans="1:25" x14ac:dyDescent="0.2">
      <c r="A1360" s="995"/>
      <c r="B1360" s="995"/>
      <c r="C1360" s="995"/>
      <c r="D1360" s="995"/>
      <c r="E1360" s="995"/>
      <c r="R1360" s="996"/>
      <c r="S1360" s="996"/>
      <c r="T1360" s="996"/>
      <c r="U1360" s="996"/>
      <c r="V1360" s="996"/>
      <c r="W1360" s="996"/>
      <c r="X1360" s="996"/>
      <c r="Y1360" s="996"/>
    </row>
    <row r="1361" spans="1:25" x14ac:dyDescent="0.2">
      <c r="A1361" s="995"/>
      <c r="B1361" s="995"/>
      <c r="C1361" s="995"/>
      <c r="D1361" s="995"/>
      <c r="E1361" s="995"/>
      <c r="R1361" s="996"/>
      <c r="S1361" s="996"/>
      <c r="T1361" s="996"/>
      <c r="U1361" s="996"/>
      <c r="V1361" s="996"/>
      <c r="W1361" s="996"/>
      <c r="X1361" s="996"/>
      <c r="Y1361" s="996"/>
    </row>
    <row r="1362" spans="1:25" x14ac:dyDescent="0.2">
      <c r="A1362" s="995"/>
      <c r="B1362" s="995"/>
      <c r="C1362" s="995"/>
      <c r="D1362" s="995"/>
      <c r="E1362" s="995"/>
      <c r="R1362" s="996"/>
      <c r="S1362" s="996"/>
      <c r="T1362" s="996"/>
      <c r="U1362" s="996"/>
      <c r="V1362" s="996"/>
      <c r="W1362" s="996"/>
      <c r="X1362" s="996"/>
      <c r="Y1362" s="996"/>
    </row>
    <row r="1363" spans="1:25" x14ac:dyDescent="0.2">
      <c r="A1363" s="995"/>
      <c r="B1363" s="995"/>
      <c r="C1363" s="995"/>
      <c r="D1363" s="995"/>
      <c r="E1363" s="995"/>
      <c r="R1363" s="996"/>
      <c r="S1363" s="996"/>
      <c r="T1363" s="996"/>
      <c r="U1363" s="996"/>
      <c r="V1363" s="996"/>
      <c r="W1363" s="996"/>
      <c r="X1363" s="996"/>
      <c r="Y1363" s="996"/>
    </row>
    <row r="1364" spans="1:25" x14ac:dyDescent="0.2">
      <c r="A1364" s="995"/>
      <c r="B1364" s="995"/>
      <c r="C1364" s="995"/>
      <c r="D1364" s="995"/>
      <c r="E1364" s="995"/>
      <c r="R1364" s="996"/>
      <c r="S1364" s="996"/>
      <c r="T1364" s="996"/>
      <c r="U1364" s="996"/>
      <c r="V1364" s="996"/>
      <c r="W1364" s="996"/>
      <c r="X1364" s="996"/>
      <c r="Y1364" s="996"/>
    </row>
    <row r="1365" spans="1:25" x14ac:dyDescent="0.2">
      <c r="A1365" s="995"/>
      <c r="B1365" s="995"/>
      <c r="C1365" s="995"/>
      <c r="D1365" s="995"/>
      <c r="E1365" s="995"/>
      <c r="R1365" s="996"/>
      <c r="S1365" s="996"/>
      <c r="T1365" s="996"/>
      <c r="U1365" s="996"/>
      <c r="V1365" s="996"/>
      <c r="W1365" s="996"/>
      <c r="X1365" s="996"/>
      <c r="Y1365" s="996"/>
    </row>
    <row r="1366" spans="1:25" x14ac:dyDescent="0.2">
      <c r="A1366" s="995"/>
      <c r="B1366" s="995"/>
      <c r="C1366" s="995"/>
      <c r="D1366" s="995"/>
      <c r="E1366" s="995"/>
      <c r="R1366" s="996"/>
      <c r="S1366" s="996"/>
      <c r="T1366" s="996"/>
      <c r="U1366" s="996"/>
      <c r="V1366" s="996"/>
      <c r="W1366" s="996"/>
      <c r="X1366" s="996"/>
      <c r="Y1366" s="996"/>
    </row>
    <row r="1367" spans="1:25" x14ac:dyDescent="0.2">
      <c r="A1367" s="995"/>
      <c r="B1367" s="995"/>
      <c r="C1367" s="995"/>
      <c r="D1367" s="995"/>
      <c r="E1367" s="995"/>
      <c r="R1367" s="996"/>
      <c r="S1367" s="996"/>
      <c r="T1367" s="996"/>
      <c r="U1367" s="996"/>
      <c r="V1367" s="996"/>
      <c r="W1367" s="996"/>
      <c r="X1367" s="996"/>
      <c r="Y1367" s="996"/>
    </row>
    <row r="1368" spans="1:25" x14ac:dyDescent="0.2">
      <c r="A1368" s="995"/>
      <c r="B1368" s="995"/>
      <c r="C1368" s="995"/>
      <c r="D1368" s="995"/>
      <c r="E1368" s="995"/>
      <c r="R1368" s="996"/>
      <c r="S1368" s="996"/>
      <c r="T1368" s="996"/>
      <c r="U1368" s="996"/>
      <c r="V1368" s="996"/>
      <c r="W1368" s="996"/>
      <c r="X1368" s="996"/>
      <c r="Y1368" s="996"/>
    </row>
    <row r="1369" spans="1:25" x14ac:dyDescent="0.2">
      <c r="A1369" s="995"/>
      <c r="B1369" s="995"/>
      <c r="C1369" s="995"/>
      <c r="D1369" s="995"/>
      <c r="E1369" s="995"/>
      <c r="R1369" s="996"/>
      <c r="S1369" s="996"/>
      <c r="T1369" s="996"/>
      <c r="U1369" s="996"/>
      <c r="V1369" s="996"/>
      <c r="W1369" s="996"/>
      <c r="X1369" s="996"/>
      <c r="Y1369" s="996"/>
    </row>
    <row r="1370" spans="1:25" x14ac:dyDescent="0.2">
      <c r="A1370" s="995"/>
      <c r="B1370" s="995"/>
      <c r="C1370" s="995"/>
      <c r="D1370" s="995"/>
      <c r="E1370" s="995"/>
      <c r="R1370" s="996"/>
      <c r="S1370" s="996"/>
      <c r="T1370" s="996"/>
      <c r="U1370" s="996"/>
      <c r="V1370" s="996"/>
      <c r="W1370" s="996"/>
      <c r="X1370" s="996"/>
      <c r="Y1370" s="996"/>
    </row>
    <row r="1371" spans="1:25" x14ac:dyDescent="0.2">
      <c r="A1371" s="995"/>
      <c r="B1371" s="995"/>
      <c r="C1371" s="995"/>
      <c r="D1371" s="995"/>
      <c r="E1371" s="995"/>
      <c r="R1371" s="996"/>
      <c r="S1371" s="996"/>
      <c r="T1371" s="996"/>
      <c r="U1371" s="996"/>
      <c r="V1371" s="996"/>
      <c r="W1371" s="996"/>
      <c r="X1371" s="996"/>
      <c r="Y1371" s="996"/>
    </row>
    <row r="1372" spans="1:25" x14ac:dyDescent="0.2">
      <c r="A1372" s="995"/>
      <c r="B1372" s="995"/>
      <c r="C1372" s="995"/>
      <c r="D1372" s="995"/>
      <c r="E1372" s="995"/>
      <c r="R1372" s="996"/>
      <c r="S1372" s="996"/>
      <c r="T1372" s="996"/>
      <c r="U1372" s="996"/>
      <c r="V1372" s="996"/>
      <c r="W1372" s="996"/>
      <c r="X1372" s="996"/>
      <c r="Y1372" s="996"/>
    </row>
    <row r="1373" spans="1:25" x14ac:dyDescent="0.2">
      <c r="A1373" s="995"/>
      <c r="B1373" s="995"/>
      <c r="C1373" s="995"/>
      <c r="D1373" s="995"/>
      <c r="E1373" s="995"/>
      <c r="R1373" s="996"/>
      <c r="S1373" s="996"/>
      <c r="T1373" s="996"/>
      <c r="U1373" s="996"/>
      <c r="V1373" s="996"/>
      <c r="W1373" s="996"/>
      <c r="X1373" s="996"/>
      <c r="Y1373" s="996"/>
    </row>
    <row r="1374" spans="1:25" x14ac:dyDescent="0.2">
      <c r="A1374" s="995"/>
      <c r="B1374" s="995"/>
      <c r="C1374" s="995"/>
      <c r="D1374" s="995"/>
      <c r="E1374" s="995"/>
      <c r="R1374" s="996"/>
      <c r="S1374" s="996"/>
      <c r="T1374" s="996"/>
      <c r="U1374" s="996"/>
      <c r="V1374" s="996"/>
      <c r="W1374" s="996"/>
      <c r="X1374" s="996"/>
      <c r="Y1374" s="996"/>
    </row>
    <row r="1375" spans="1:25" x14ac:dyDescent="0.2">
      <c r="A1375" s="995"/>
      <c r="B1375" s="995"/>
      <c r="C1375" s="995"/>
      <c r="D1375" s="995"/>
      <c r="E1375" s="995"/>
      <c r="R1375" s="996"/>
      <c r="S1375" s="996"/>
      <c r="T1375" s="996"/>
      <c r="U1375" s="996"/>
      <c r="V1375" s="996"/>
      <c r="W1375" s="996"/>
      <c r="X1375" s="996"/>
      <c r="Y1375" s="996"/>
    </row>
    <row r="1376" spans="1:25" x14ac:dyDescent="0.2">
      <c r="A1376" s="995"/>
      <c r="B1376" s="995"/>
      <c r="C1376" s="995"/>
      <c r="D1376" s="995"/>
      <c r="E1376" s="995"/>
      <c r="R1376" s="996"/>
      <c r="S1376" s="996"/>
      <c r="T1376" s="996"/>
      <c r="U1376" s="996"/>
      <c r="V1376" s="996"/>
      <c r="W1376" s="996"/>
      <c r="X1376" s="996"/>
      <c r="Y1376" s="996"/>
    </row>
    <row r="1377" spans="1:25" x14ac:dyDescent="0.2">
      <c r="A1377" s="995"/>
      <c r="B1377" s="995"/>
      <c r="C1377" s="995"/>
      <c r="D1377" s="995"/>
      <c r="E1377" s="995"/>
      <c r="R1377" s="996"/>
      <c r="S1377" s="996"/>
      <c r="T1377" s="996"/>
      <c r="U1377" s="996"/>
      <c r="V1377" s="996"/>
      <c r="W1377" s="996"/>
      <c r="X1377" s="996"/>
      <c r="Y1377" s="996"/>
    </row>
    <row r="1378" spans="1:25" x14ac:dyDescent="0.2">
      <c r="A1378" s="995"/>
      <c r="B1378" s="995"/>
      <c r="C1378" s="995"/>
      <c r="D1378" s="995"/>
      <c r="E1378" s="995"/>
      <c r="R1378" s="996"/>
      <c r="S1378" s="996"/>
      <c r="T1378" s="996"/>
      <c r="U1378" s="996"/>
      <c r="V1378" s="996"/>
      <c r="W1378" s="996"/>
      <c r="X1378" s="996"/>
      <c r="Y1378" s="996"/>
    </row>
    <row r="1379" spans="1:25" x14ac:dyDescent="0.2">
      <c r="A1379" s="995"/>
      <c r="B1379" s="995"/>
      <c r="C1379" s="995"/>
      <c r="D1379" s="995"/>
      <c r="E1379" s="995"/>
      <c r="R1379" s="996"/>
      <c r="S1379" s="996"/>
      <c r="T1379" s="996"/>
      <c r="U1379" s="996"/>
      <c r="V1379" s="996"/>
      <c r="W1379" s="996"/>
      <c r="X1379" s="996"/>
      <c r="Y1379" s="996"/>
    </row>
    <row r="1380" spans="1:25" x14ac:dyDescent="0.2">
      <c r="A1380" s="995"/>
      <c r="B1380" s="995"/>
      <c r="C1380" s="995"/>
      <c r="D1380" s="995"/>
      <c r="E1380" s="995"/>
      <c r="R1380" s="996"/>
      <c r="S1380" s="996"/>
      <c r="T1380" s="996"/>
      <c r="U1380" s="996"/>
      <c r="V1380" s="996"/>
      <c r="W1380" s="996"/>
      <c r="X1380" s="996"/>
      <c r="Y1380" s="996"/>
    </row>
    <row r="1381" spans="1:25" x14ac:dyDescent="0.2">
      <c r="A1381" s="995"/>
      <c r="B1381" s="995"/>
      <c r="C1381" s="995"/>
      <c r="D1381" s="995"/>
      <c r="E1381" s="995"/>
      <c r="R1381" s="996"/>
      <c r="S1381" s="996"/>
      <c r="T1381" s="996"/>
      <c r="U1381" s="996"/>
      <c r="V1381" s="996"/>
      <c r="W1381" s="996"/>
      <c r="X1381" s="996"/>
      <c r="Y1381" s="996"/>
    </row>
    <row r="1382" spans="1:25" x14ac:dyDescent="0.2">
      <c r="A1382" s="995"/>
      <c r="B1382" s="995"/>
      <c r="C1382" s="995"/>
      <c r="D1382" s="995"/>
      <c r="E1382" s="995"/>
      <c r="R1382" s="996"/>
      <c r="S1382" s="996"/>
      <c r="T1382" s="996"/>
      <c r="U1382" s="996"/>
      <c r="V1382" s="996"/>
      <c r="W1382" s="996"/>
      <c r="X1382" s="996"/>
      <c r="Y1382" s="996"/>
    </row>
    <row r="1383" spans="1:25" x14ac:dyDescent="0.2">
      <c r="A1383" s="995"/>
      <c r="B1383" s="995"/>
      <c r="C1383" s="995"/>
      <c r="D1383" s="995"/>
      <c r="E1383" s="995"/>
      <c r="R1383" s="996"/>
      <c r="S1383" s="996"/>
      <c r="T1383" s="996"/>
      <c r="U1383" s="996"/>
      <c r="V1383" s="996"/>
      <c r="W1383" s="996"/>
      <c r="X1383" s="996"/>
      <c r="Y1383" s="996"/>
    </row>
    <row r="1384" spans="1:25" x14ac:dyDescent="0.2">
      <c r="A1384" s="995"/>
      <c r="B1384" s="995"/>
      <c r="C1384" s="995"/>
      <c r="D1384" s="995"/>
      <c r="E1384" s="995"/>
      <c r="R1384" s="996"/>
      <c r="S1384" s="996"/>
      <c r="T1384" s="996"/>
      <c r="U1384" s="996"/>
      <c r="V1384" s="996"/>
      <c r="W1384" s="996"/>
      <c r="X1384" s="996"/>
      <c r="Y1384" s="996"/>
    </row>
    <row r="1385" spans="1:25" x14ac:dyDescent="0.2">
      <c r="A1385" s="995"/>
      <c r="B1385" s="995"/>
      <c r="C1385" s="995"/>
      <c r="D1385" s="995"/>
      <c r="E1385" s="995"/>
      <c r="R1385" s="996"/>
      <c r="S1385" s="996"/>
      <c r="T1385" s="996"/>
      <c r="U1385" s="996"/>
      <c r="V1385" s="996"/>
      <c r="W1385" s="996"/>
      <c r="X1385" s="996"/>
      <c r="Y1385" s="996"/>
    </row>
    <row r="1386" spans="1:25" x14ac:dyDescent="0.2">
      <c r="A1386" s="995"/>
      <c r="B1386" s="995"/>
      <c r="C1386" s="995"/>
      <c r="D1386" s="995"/>
      <c r="E1386" s="995"/>
      <c r="R1386" s="996"/>
      <c r="S1386" s="996"/>
      <c r="T1386" s="996"/>
      <c r="U1386" s="996"/>
      <c r="V1386" s="996"/>
      <c r="W1386" s="996"/>
      <c r="X1386" s="996"/>
      <c r="Y1386" s="996"/>
    </row>
    <row r="1387" spans="1:25" x14ac:dyDescent="0.2">
      <c r="A1387" s="995"/>
      <c r="B1387" s="995"/>
      <c r="C1387" s="995"/>
      <c r="D1387" s="995"/>
      <c r="E1387" s="995"/>
      <c r="R1387" s="996"/>
      <c r="S1387" s="996"/>
      <c r="T1387" s="996"/>
      <c r="U1387" s="996"/>
      <c r="V1387" s="996"/>
      <c r="W1387" s="996"/>
      <c r="X1387" s="996"/>
      <c r="Y1387" s="996"/>
    </row>
    <row r="1388" spans="1:25" x14ac:dyDescent="0.2">
      <c r="A1388" s="995"/>
      <c r="B1388" s="995"/>
      <c r="C1388" s="995"/>
      <c r="D1388" s="995"/>
      <c r="E1388" s="995"/>
      <c r="R1388" s="996"/>
      <c r="S1388" s="996"/>
      <c r="T1388" s="996"/>
      <c r="U1388" s="996"/>
      <c r="V1388" s="996"/>
      <c r="W1388" s="996"/>
      <c r="X1388" s="996"/>
      <c r="Y1388" s="996"/>
    </row>
    <row r="1389" spans="1:25" x14ac:dyDescent="0.2">
      <c r="A1389" s="995"/>
      <c r="B1389" s="995"/>
      <c r="C1389" s="995"/>
      <c r="D1389" s="995"/>
      <c r="E1389" s="995"/>
      <c r="R1389" s="996"/>
      <c r="S1389" s="996"/>
      <c r="T1389" s="996"/>
      <c r="U1389" s="996"/>
      <c r="V1389" s="996"/>
      <c r="W1389" s="996"/>
      <c r="X1389" s="996"/>
      <c r="Y1389" s="996"/>
    </row>
    <row r="1390" spans="1:25" x14ac:dyDescent="0.2">
      <c r="A1390" s="995"/>
      <c r="B1390" s="995"/>
      <c r="C1390" s="995"/>
      <c r="D1390" s="995"/>
      <c r="E1390" s="995"/>
      <c r="R1390" s="996"/>
      <c r="S1390" s="996"/>
      <c r="T1390" s="996"/>
      <c r="U1390" s="996"/>
      <c r="V1390" s="996"/>
      <c r="W1390" s="996"/>
      <c r="X1390" s="996"/>
      <c r="Y1390" s="996"/>
    </row>
    <row r="1391" spans="1:25" x14ac:dyDescent="0.2">
      <c r="A1391" s="995"/>
      <c r="B1391" s="995"/>
      <c r="C1391" s="995"/>
      <c r="D1391" s="995"/>
      <c r="E1391" s="995"/>
      <c r="R1391" s="996"/>
      <c r="S1391" s="996"/>
      <c r="T1391" s="996"/>
      <c r="U1391" s="996"/>
      <c r="V1391" s="996"/>
      <c r="W1391" s="996"/>
      <c r="X1391" s="996"/>
      <c r="Y1391" s="996"/>
    </row>
    <row r="1392" spans="1:25" x14ac:dyDescent="0.2">
      <c r="A1392" s="995"/>
      <c r="B1392" s="995"/>
      <c r="C1392" s="995"/>
      <c r="D1392" s="995"/>
      <c r="E1392" s="995"/>
      <c r="R1392" s="996"/>
      <c r="S1392" s="996"/>
      <c r="T1392" s="996"/>
      <c r="U1392" s="996"/>
      <c r="V1392" s="996"/>
      <c r="W1392" s="996"/>
      <c r="X1392" s="996"/>
      <c r="Y1392" s="996"/>
    </row>
    <row r="1393" spans="1:25" x14ac:dyDescent="0.2">
      <c r="A1393" s="995"/>
      <c r="B1393" s="995"/>
      <c r="C1393" s="995"/>
      <c r="D1393" s="995"/>
      <c r="E1393" s="995"/>
      <c r="R1393" s="996"/>
      <c r="S1393" s="996"/>
      <c r="T1393" s="996"/>
      <c r="U1393" s="996"/>
      <c r="V1393" s="996"/>
      <c r="W1393" s="996"/>
      <c r="X1393" s="996"/>
      <c r="Y1393" s="996"/>
    </row>
    <row r="1394" spans="1:25" x14ac:dyDescent="0.2">
      <c r="A1394" s="995"/>
      <c r="B1394" s="995"/>
      <c r="C1394" s="995"/>
      <c r="D1394" s="995"/>
      <c r="E1394" s="995"/>
      <c r="R1394" s="996"/>
      <c r="S1394" s="996"/>
      <c r="T1394" s="996"/>
      <c r="U1394" s="996"/>
      <c r="V1394" s="996"/>
      <c r="W1394" s="996"/>
      <c r="X1394" s="996"/>
      <c r="Y1394" s="996"/>
    </row>
    <row r="1395" spans="1:25" x14ac:dyDescent="0.2">
      <c r="A1395" s="995"/>
      <c r="B1395" s="995"/>
      <c r="C1395" s="995"/>
      <c r="D1395" s="995"/>
      <c r="E1395" s="995"/>
      <c r="R1395" s="996"/>
      <c r="S1395" s="996"/>
      <c r="T1395" s="996"/>
      <c r="U1395" s="996"/>
      <c r="V1395" s="996"/>
      <c r="W1395" s="996"/>
      <c r="X1395" s="996"/>
      <c r="Y1395" s="996"/>
    </row>
    <row r="1396" spans="1:25" x14ac:dyDescent="0.2">
      <c r="A1396" s="995"/>
      <c r="B1396" s="995"/>
      <c r="C1396" s="995"/>
      <c r="D1396" s="995"/>
      <c r="E1396" s="995"/>
      <c r="R1396" s="996"/>
      <c r="S1396" s="996"/>
      <c r="T1396" s="996"/>
      <c r="U1396" s="996"/>
      <c r="V1396" s="996"/>
      <c r="W1396" s="996"/>
      <c r="X1396" s="996"/>
      <c r="Y1396" s="996"/>
    </row>
    <row r="1397" spans="1:25" x14ac:dyDescent="0.2">
      <c r="A1397" s="995"/>
      <c r="B1397" s="995"/>
      <c r="C1397" s="995"/>
      <c r="D1397" s="995"/>
      <c r="E1397" s="995"/>
      <c r="R1397" s="996"/>
      <c r="S1397" s="996"/>
      <c r="T1397" s="996"/>
      <c r="U1397" s="996"/>
      <c r="V1397" s="996"/>
      <c r="W1397" s="996"/>
      <c r="X1397" s="996"/>
      <c r="Y1397" s="996"/>
    </row>
    <row r="1398" spans="1:25" x14ac:dyDescent="0.2">
      <c r="A1398" s="995"/>
      <c r="B1398" s="995"/>
      <c r="C1398" s="995"/>
      <c r="D1398" s="995"/>
      <c r="E1398" s="995"/>
      <c r="R1398" s="996"/>
      <c r="S1398" s="996"/>
      <c r="T1398" s="996"/>
      <c r="U1398" s="996"/>
      <c r="V1398" s="996"/>
      <c r="W1398" s="996"/>
      <c r="X1398" s="996"/>
      <c r="Y1398" s="996"/>
    </row>
    <row r="1399" spans="1:25" x14ac:dyDescent="0.2">
      <c r="A1399" s="995"/>
      <c r="B1399" s="995"/>
      <c r="C1399" s="995"/>
      <c r="D1399" s="995"/>
      <c r="E1399" s="995"/>
      <c r="R1399" s="996"/>
      <c r="S1399" s="996"/>
      <c r="T1399" s="996"/>
      <c r="U1399" s="996"/>
      <c r="V1399" s="996"/>
      <c r="W1399" s="996"/>
      <c r="X1399" s="996"/>
      <c r="Y1399" s="996"/>
    </row>
    <row r="1400" spans="1:25" x14ac:dyDescent="0.2">
      <c r="A1400" s="995"/>
      <c r="B1400" s="995"/>
      <c r="C1400" s="995"/>
      <c r="D1400" s="995"/>
      <c r="E1400" s="995"/>
      <c r="R1400" s="996"/>
      <c r="S1400" s="996"/>
      <c r="T1400" s="996"/>
      <c r="U1400" s="996"/>
      <c r="V1400" s="996"/>
      <c r="W1400" s="996"/>
      <c r="X1400" s="996"/>
      <c r="Y1400" s="996"/>
    </row>
    <row r="1401" spans="1:25" x14ac:dyDescent="0.2">
      <c r="A1401" s="995"/>
      <c r="B1401" s="995"/>
      <c r="C1401" s="995"/>
      <c r="D1401" s="995"/>
      <c r="E1401" s="995"/>
      <c r="R1401" s="996"/>
      <c r="S1401" s="996"/>
      <c r="T1401" s="996"/>
      <c r="U1401" s="996"/>
      <c r="V1401" s="996"/>
      <c r="W1401" s="996"/>
      <c r="X1401" s="996"/>
      <c r="Y1401" s="996"/>
    </row>
    <row r="1402" spans="1:25" x14ac:dyDescent="0.2">
      <c r="A1402" s="995"/>
      <c r="B1402" s="995"/>
      <c r="C1402" s="995"/>
      <c r="D1402" s="995"/>
      <c r="E1402" s="995"/>
      <c r="R1402" s="996"/>
      <c r="S1402" s="996"/>
      <c r="T1402" s="996"/>
      <c r="U1402" s="996"/>
      <c r="V1402" s="996"/>
      <c r="W1402" s="996"/>
      <c r="X1402" s="996"/>
      <c r="Y1402" s="996"/>
    </row>
    <row r="1403" spans="1:25" x14ac:dyDescent="0.2">
      <c r="A1403" s="995"/>
      <c r="B1403" s="995"/>
      <c r="C1403" s="995"/>
      <c r="D1403" s="995"/>
      <c r="E1403" s="995"/>
      <c r="R1403" s="996"/>
      <c r="S1403" s="996"/>
      <c r="T1403" s="996"/>
      <c r="U1403" s="996"/>
      <c r="V1403" s="996"/>
      <c r="W1403" s="996"/>
      <c r="X1403" s="996"/>
      <c r="Y1403" s="996"/>
    </row>
    <row r="1404" spans="1:25" x14ac:dyDescent="0.2">
      <c r="A1404" s="995"/>
      <c r="B1404" s="995"/>
      <c r="C1404" s="995"/>
      <c r="D1404" s="995"/>
      <c r="E1404" s="995"/>
      <c r="R1404" s="996"/>
      <c r="S1404" s="996"/>
      <c r="T1404" s="996"/>
      <c r="U1404" s="996"/>
      <c r="V1404" s="996"/>
      <c r="W1404" s="996"/>
      <c r="X1404" s="996"/>
      <c r="Y1404" s="996"/>
    </row>
    <row r="1405" spans="1:25" x14ac:dyDescent="0.2">
      <c r="A1405" s="995"/>
      <c r="B1405" s="995"/>
      <c r="C1405" s="995"/>
      <c r="D1405" s="995"/>
      <c r="E1405" s="995"/>
      <c r="R1405" s="996"/>
      <c r="S1405" s="996"/>
      <c r="T1405" s="996"/>
      <c r="U1405" s="996"/>
      <c r="V1405" s="996"/>
      <c r="W1405" s="996"/>
      <c r="X1405" s="996"/>
      <c r="Y1405" s="996"/>
    </row>
    <row r="1406" spans="1:25" x14ac:dyDescent="0.2">
      <c r="A1406" s="995"/>
      <c r="B1406" s="995"/>
      <c r="C1406" s="995"/>
      <c r="D1406" s="995"/>
      <c r="E1406" s="995"/>
      <c r="R1406" s="996"/>
      <c r="S1406" s="996"/>
      <c r="T1406" s="996"/>
      <c r="U1406" s="996"/>
      <c r="V1406" s="996"/>
      <c r="W1406" s="996"/>
      <c r="X1406" s="996"/>
      <c r="Y1406" s="996"/>
    </row>
    <row r="1407" spans="1:25" x14ac:dyDescent="0.2">
      <c r="A1407" s="995"/>
      <c r="B1407" s="995"/>
      <c r="C1407" s="995"/>
      <c r="D1407" s="995"/>
      <c r="E1407" s="995"/>
      <c r="R1407" s="996"/>
      <c r="S1407" s="996"/>
      <c r="T1407" s="996"/>
      <c r="U1407" s="996"/>
      <c r="V1407" s="996"/>
      <c r="W1407" s="996"/>
      <c r="X1407" s="996"/>
      <c r="Y1407" s="996"/>
    </row>
    <row r="1408" spans="1:25" x14ac:dyDescent="0.2">
      <c r="A1408" s="995"/>
      <c r="B1408" s="995"/>
      <c r="C1408" s="995"/>
      <c r="D1408" s="995"/>
      <c r="E1408" s="995"/>
      <c r="R1408" s="996"/>
      <c r="S1408" s="996"/>
      <c r="T1408" s="996"/>
      <c r="U1408" s="996"/>
      <c r="V1408" s="996"/>
      <c r="W1408" s="996"/>
      <c r="X1408" s="996"/>
      <c r="Y1408" s="996"/>
    </row>
    <row r="1409" spans="1:25" x14ac:dyDescent="0.2">
      <c r="A1409" s="995"/>
      <c r="B1409" s="995"/>
      <c r="C1409" s="995"/>
      <c r="D1409" s="995"/>
      <c r="E1409" s="995"/>
      <c r="R1409" s="996"/>
      <c r="S1409" s="996"/>
      <c r="T1409" s="996"/>
      <c r="U1409" s="996"/>
      <c r="V1409" s="996"/>
      <c r="W1409" s="996"/>
      <c r="X1409" s="996"/>
      <c r="Y1409" s="996"/>
    </row>
    <row r="1410" spans="1:25" x14ac:dyDescent="0.2">
      <c r="A1410" s="995"/>
      <c r="B1410" s="995"/>
      <c r="C1410" s="995"/>
      <c r="D1410" s="995"/>
      <c r="E1410" s="995"/>
      <c r="R1410" s="996"/>
      <c r="S1410" s="996"/>
      <c r="T1410" s="996"/>
      <c r="U1410" s="996"/>
      <c r="V1410" s="996"/>
      <c r="W1410" s="996"/>
      <c r="X1410" s="996"/>
      <c r="Y1410" s="996"/>
    </row>
    <row r="1411" spans="1:25" x14ac:dyDescent="0.2">
      <c r="A1411" s="995"/>
      <c r="B1411" s="995"/>
      <c r="C1411" s="995"/>
      <c r="D1411" s="995"/>
      <c r="E1411" s="995"/>
      <c r="R1411" s="996"/>
      <c r="S1411" s="996"/>
      <c r="T1411" s="996"/>
      <c r="U1411" s="996"/>
      <c r="V1411" s="996"/>
      <c r="W1411" s="996"/>
      <c r="X1411" s="996"/>
      <c r="Y1411" s="996"/>
    </row>
    <row r="1412" spans="1:25" x14ac:dyDescent="0.2">
      <c r="A1412" s="995"/>
      <c r="B1412" s="995"/>
      <c r="C1412" s="995"/>
      <c r="D1412" s="995"/>
      <c r="E1412" s="995"/>
      <c r="R1412" s="996"/>
      <c r="S1412" s="996"/>
      <c r="T1412" s="996"/>
      <c r="U1412" s="996"/>
      <c r="V1412" s="996"/>
      <c r="W1412" s="996"/>
      <c r="X1412" s="996"/>
      <c r="Y1412" s="996"/>
    </row>
    <row r="1413" spans="1:25" x14ac:dyDescent="0.2">
      <c r="A1413" s="995"/>
      <c r="B1413" s="995"/>
      <c r="C1413" s="995"/>
      <c r="D1413" s="995"/>
      <c r="E1413" s="995"/>
      <c r="R1413" s="996"/>
      <c r="S1413" s="996"/>
      <c r="T1413" s="996"/>
      <c r="U1413" s="996"/>
      <c r="V1413" s="996"/>
      <c r="W1413" s="996"/>
      <c r="X1413" s="996"/>
      <c r="Y1413" s="996"/>
    </row>
    <row r="1414" spans="1:25" x14ac:dyDescent="0.2">
      <c r="A1414" s="995"/>
      <c r="B1414" s="995"/>
      <c r="C1414" s="995"/>
      <c r="D1414" s="995"/>
      <c r="E1414" s="995"/>
      <c r="R1414" s="996"/>
      <c r="S1414" s="996"/>
      <c r="T1414" s="996"/>
      <c r="U1414" s="996"/>
      <c r="V1414" s="996"/>
      <c r="W1414" s="996"/>
      <c r="X1414" s="996"/>
      <c r="Y1414" s="996"/>
    </row>
    <row r="1415" spans="1:25" x14ac:dyDescent="0.2">
      <c r="A1415" s="995"/>
      <c r="B1415" s="995"/>
      <c r="C1415" s="995"/>
      <c r="D1415" s="995"/>
      <c r="E1415" s="995"/>
      <c r="R1415" s="996"/>
      <c r="S1415" s="996"/>
      <c r="T1415" s="996"/>
      <c r="U1415" s="996"/>
      <c r="V1415" s="996"/>
      <c r="W1415" s="996"/>
      <c r="X1415" s="996"/>
      <c r="Y1415" s="996"/>
    </row>
    <row r="1416" spans="1:25" x14ac:dyDescent="0.2">
      <c r="A1416" s="995"/>
      <c r="B1416" s="995"/>
      <c r="C1416" s="995"/>
      <c r="D1416" s="995"/>
      <c r="E1416" s="995"/>
      <c r="R1416" s="996"/>
      <c r="S1416" s="996"/>
      <c r="T1416" s="996"/>
      <c r="U1416" s="996"/>
      <c r="V1416" s="996"/>
      <c r="W1416" s="996"/>
      <c r="X1416" s="996"/>
      <c r="Y1416" s="996"/>
    </row>
    <row r="1417" spans="1:25" x14ac:dyDescent="0.2">
      <c r="A1417" s="995"/>
      <c r="B1417" s="995"/>
      <c r="C1417" s="995"/>
      <c r="D1417" s="995"/>
      <c r="E1417" s="995"/>
      <c r="R1417" s="996"/>
      <c r="S1417" s="996"/>
      <c r="T1417" s="996"/>
      <c r="U1417" s="996"/>
      <c r="V1417" s="996"/>
      <c r="W1417" s="996"/>
      <c r="X1417" s="996"/>
      <c r="Y1417" s="996"/>
    </row>
    <row r="1418" spans="1:25" x14ac:dyDescent="0.2">
      <c r="A1418" s="995"/>
      <c r="B1418" s="995"/>
      <c r="C1418" s="995"/>
      <c r="D1418" s="995"/>
      <c r="E1418" s="995"/>
      <c r="R1418" s="996"/>
      <c r="S1418" s="996"/>
      <c r="T1418" s="996"/>
      <c r="U1418" s="996"/>
      <c r="V1418" s="996"/>
      <c r="W1418" s="996"/>
      <c r="X1418" s="996"/>
      <c r="Y1418" s="996"/>
    </row>
    <row r="1419" spans="1:25" x14ac:dyDescent="0.2">
      <c r="A1419" s="995"/>
      <c r="B1419" s="995"/>
      <c r="C1419" s="995"/>
      <c r="D1419" s="995"/>
      <c r="E1419" s="995"/>
      <c r="R1419" s="996"/>
      <c r="S1419" s="996"/>
      <c r="T1419" s="996"/>
      <c r="U1419" s="996"/>
      <c r="V1419" s="996"/>
      <c r="W1419" s="996"/>
      <c r="X1419" s="996"/>
      <c r="Y1419" s="996"/>
    </row>
    <row r="1420" spans="1:25" x14ac:dyDescent="0.2">
      <c r="A1420" s="995"/>
      <c r="B1420" s="995"/>
      <c r="C1420" s="995"/>
      <c r="D1420" s="995"/>
      <c r="E1420" s="995"/>
      <c r="R1420" s="996"/>
      <c r="S1420" s="996"/>
      <c r="T1420" s="996"/>
      <c r="U1420" s="996"/>
      <c r="V1420" s="996"/>
      <c r="W1420" s="996"/>
      <c r="X1420" s="996"/>
      <c r="Y1420" s="996"/>
    </row>
    <row r="1421" spans="1:25" x14ac:dyDescent="0.2">
      <c r="A1421" s="995"/>
      <c r="B1421" s="995"/>
      <c r="C1421" s="995"/>
      <c r="D1421" s="995"/>
      <c r="E1421" s="995"/>
      <c r="R1421" s="996"/>
      <c r="S1421" s="996"/>
      <c r="T1421" s="996"/>
      <c r="U1421" s="996"/>
      <c r="V1421" s="996"/>
      <c r="W1421" s="996"/>
      <c r="X1421" s="996"/>
      <c r="Y1421" s="996"/>
    </row>
    <row r="1422" spans="1:25" x14ac:dyDescent="0.2">
      <c r="A1422" s="995"/>
      <c r="B1422" s="995"/>
      <c r="C1422" s="995"/>
      <c r="D1422" s="995"/>
      <c r="E1422" s="995"/>
      <c r="R1422" s="996"/>
      <c r="S1422" s="996"/>
      <c r="T1422" s="996"/>
      <c r="U1422" s="996"/>
      <c r="V1422" s="996"/>
      <c r="W1422" s="996"/>
      <c r="X1422" s="996"/>
      <c r="Y1422" s="996"/>
    </row>
    <row r="1423" spans="1:25" x14ac:dyDescent="0.2">
      <c r="A1423" s="995"/>
      <c r="B1423" s="995"/>
      <c r="C1423" s="995"/>
      <c r="D1423" s="995"/>
      <c r="E1423" s="995"/>
      <c r="R1423" s="996"/>
      <c r="S1423" s="996"/>
      <c r="T1423" s="996"/>
      <c r="U1423" s="996"/>
      <c r="V1423" s="996"/>
      <c r="W1423" s="996"/>
      <c r="X1423" s="996"/>
      <c r="Y1423" s="996"/>
    </row>
    <row r="1424" spans="1:25" x14ac:dyDescent="0.2">
      <c r="A1424" s="995"/>
      <c r="B1424" s="995"/>
      <c r="C1424" s="995"/>
      <c r="D1424" s="995"/>
      <c r="E1424" s="995"/>
      <c r="R1424" s="996"/>
      <c r="S1424" s="996"/>
      <c r="T1424" s="996"/>
      <c r="U1424" s="996"/>
      <c r="V1424" s="996"/>
      <c r="W1424" s="996"/>
      <c r="X1424" s="996"/>
      <c r="Y1424" s="996"/>
    </row>
    <row r="1425" spans="1:25" x14ac:dyDescent="0.2">
      <c r="A1425" s="995"/>
      <c r="B1425" s="995"/>
      <c r="C1425" s="995"/>
      <c r="D1425" s="995"/>
      <c r="E1425" s="995"/>
      <c r="R1425" s="996"/>
      <c r="S1425" s="996"/>
      <c r="T1425" s="996"/>
      <c r="U1425" s="996"/>
      <c r="V1425" s="996"/>
      <c r="W1425" s="996"/>
      <c r="X1425" s="996"/>
      <c r="Y1425" s="996"/>
    </row>
    <row r="1426" spans="1:25" x14ac:dyDescent="0.2">
      <c r="A1426" s="995"/>
      <c r="B1426" s="995"/>
      <c r="C1426" s="995"/>
      <c r="D1426" s="995"/>
      <c r="E1426" s="995"/>
      <c r="R1426" s="996"/>
      <c r="S1426" s="996"/>
      <c r="T1426" s="996"/>
      <c r="U1426" s="996"/>
      <c r="V1426" s="996"/>
      <c r="W1426" s="996"/>
      <c r="X1426" s="996"/>
      <c r="Y1426" s="996"/>
    </row>
    <row r="1427" spans="1:25" x14ac:dyDescent="0.2">
      <c r="A1427" s="995"/>
      <c r="B1427" s="995"/>
      <c r="C1427" s="995"/>
      <c r="D1427" s="995"/>
      <c r="E1427" s="995"/>
      <c r="R1427" s="996"/>
      <c r="S1427" s="996"/>
      <c r="T1427" s="996"/>
      <c r="U1427" s="996"/>
      <c r="V1427" s="996"/>
      <c r="W1427" s="996"/>
      <c r="X1427" s="996"/>
      <c r="Y1427" s="996"/>
    </row>
    <row r="1428" spans="1:25" x14ac:dyDescent="0.2">
      <c r="A1428" s="995"/>
      <c r="B1428" s="995"/>
      <c r="C1428" s="995"/>
      <c r="D1428" s="995"/>
      <c r="E1428" s="995"/>
      <c r="R1428" s="996"/>
      <c r="S1428" s="996"/>
      <c r="T1428" s="996"/>
      <c r="U1428" s="996"/>
      <c r="V1428" s="996"/>
      <c r="W1428" s="996"/>
      <c r="X1428" s="996"/>
      <c r="Y1428" s="996"/>
    </row>
    <row r="1429" spans="1:25" x14ac:dyDescent="0.2">
      <c r="A1429" s="995"/>
      <c r="B1429" s="995"/>
      <c r="C1429" s="995"/>
      <c r="D1429" s="995"/>
      <c r="E1429" s="995"/>
      <c r="R1429" s="996"/>
      <c r="S1429" s="996"/>
      <c r="T1429" s="996"/>
      <c r="U1429" s="996"/>
      <c r="V1429" s="996"/>
      <c r="W1429" s="996"/>
      <c r="X1429" s="996"/>
      <c r="Y1429" s="996"/>
    </row>
    <row r="1430" spans="1:25" x14ac:dyDescent="0.2">
      <c r="A1430" s="995"/>
      <c r="B1430" s="995"/>
      <c r="C1430" s="995"/>
      <c r="D1430" s="995"/>
      <c r="E1430" s="995"/>
      <c r="R1430" s="996"/>
      <c r="S1430" s="996"/>
      <c r="T1430" s="996"/>
      <c r="U1430" s="996"/>
      <c r="V1430" s="996"/>
      <c r="W1430" s="996"/>
      <c r="X1430" s="996"/>
      <c r="Y1430" s="996"/>
    </row>
    <row r="1431" spans="1:25" x14ac:dyDescent="0.2">
      <c r="A1431" s="995"/>
      <c r="B1431" s="995"/>
      <c r="C1431" s="995"/>
      <c r="D1431" s="995"/>
      <c r="E1431" s="995"/>
      <c r="R1431" s="996"/>
      <c r="S1431" s="996"/>
      <c r="T1431" s="996"/>
      <c r="U1431" s="996"/>
      <c r="V1431" s="996"/>
      <c r="W1431" s="996"/>
      <c r="X1431" s="996"/>
      <c r="Y1431" s="996"/>
    </row>
    <row r="1432" spans="1:25" x14ac:dyDescent="0.2">
      <c r="A1432" s="995"/>
      <c r="B1432" s="995"/>
      <c r="C1432" s="995"/>
      <c r="D1432" s="995"/>
      <c r="E1432" s="995"/>
      <c r="R1432" s="996"/>
      <c r="S1432" s="996"/>
      <c r="T1432" s="996"/>
      <c r="U1432" s="996"/>
      <c r="V1432" s="996"/>
      <c r="W1432" s="996"/>
      <c r="X1432" s="996"/>
      <c r="Y1432" s="996"/>
    </row>
    <row r="1433" spans="1:25" x14ac:dyDescent="0.2">
      <c r="A1433" s="995"/>
      <c r="B1433" s="995"/>
      <c r="C1433" s="995"/>
      <c r="D1433" s="995"/>
      <c r="E1433" s="995"/>
      <c r="R1433" s="996"/>
      <c r="S1433" s="996"/>
      <c r="T1433" s="996"/>
      <c r="U1433" s="996"/>
      <c r="V1433" s="996"/>
      <c r="W1433" s="996"/>
      <c r="X1433" s="996"/>
      <c r="Y1433" s="996"/>
    </row>
    <row r="1434" spans="1:25" x14ac:dyDescent="0.2">
      <c r="A1434" s="995"/>
      <c r="B1434" s="995"/>
      <c r="C1434" s="995"/>
      <c r="D1434" s="995"/>
      <c r="E1434" s="995"/>
      <c r="R1434" s="996"/>
      <c r="S1434" s="996"/>
      <c r="T1434" s="996"/>
      <c r="U1434" s="996"/>
      <c r="V1434" s="996"/>
      <c r="W1434" s="996"/>
      <c r="X1434" s="996"/>
      <c r="Y1434" s="996"/>
    </row>
    <row r="1435" spans="1:25" x14ac:dyDescent="0.2">
      <c r="A1435" s="995"/>
      <c r="B1435" s="995"/>
      <c r="C1435" s="995"/>
      <c r="D1435" s="995"/>
      <c r="E1435" s="995"/>
      <c r="R1435" s="996"/>
      <c r="S1435" s="996"/>
      <c r="T1435" s="996"/>
      <c r="U1435" s="996"/>
      <c r="V1435" s="996"/>
      <c r="W1435" s="996"/>
      <c r="X1435" s="996"/>
      <c r="Y1435" s="996"/>
    </row>
    <row r="1436" spans="1:25" x14ac:dyDescent="0.2">
      <c r="A1436" s="995"/>
      <c r="B1436" s="995"/>
      <c r="C1436" s="995"/>
      <c r="D1436" s="995"/>
      <c r="E1436" s="995"/>
      <c r="R1436" s="996"/>
      <c r="S1436" s="996"/>
      <c r="T1436" s="996"/>
      <c r="U1436" s="996"/>
      <c r="V1436" s="996"/>
      <c r="W1436" s="996"/>
      <c r="X1436" s="996"/>
      <c r="Y1436" s="996"/>
    </row>
    <row r="1437" spans="1:25" x14ac:dyDescent="0.2">
      <c r="A1437" s="995"/>
      <c r="B1437" s="995"/>
      <c r="C1437" s="995"/>
      <c r="D1437" s="995"/>
      <c r="E1437" s="995"/>
      <c r="R1437" s="996"/>
      <c r="S1437" s="996"/>
      <c r="T1437" s="996"/>
      <c r="U1437" s="996"/>
      <c r="V1437" s="996"/>
      <c r="W1437" s="996"/>
      <c r="X1437" s="996"/>
      <c r="Y1437" s="996"/>
    </row>
    <row r="1438" spans="1:25" x14ac:dyDescent="0.2">
      <c r="A1438" s="995"/>
      <c r="B1438" s="995"/>
      <c r="C1438" s="995"/>
      <c r="D1438" s="995"/>
      <c r="E1438" s="995"/>
      <c r="R1438" s="996"/>
      <c r="S1438" s="996"/>
      <c r="T1438" s="996"/>
      <c r="U1438" s="996"/>
      <c r="V1438" s="996"/>
      <c r="W1438" s="996"/>
      <c r="X1438" s="996"/>
      <c r="Y1438" s="996"/>
    </row>
    <row r="1439" spans="1:25" x14ac:dyDescent="0.2">
      <c r="A1439" s="995"/>
      <c r="B1439" s="995"/>
      <c r="C1439" s="995"/>
      <c r="D1439" s="995"/>
      <c r="E1439" s="995"/>
      <c r="R1439" s="996"/>
      <c r="S1439" s="996"/>
      <c r="T1439" s="996"/>
      <c r="U1439" s="996"/>
      <c r="V1439" s="996"/>
      <c r="W1439" s="996"/>
      <c r="X1439" s="996"/>
      <c r="Y1439" s="996"/>
    </row>
    <row r="1440" spans="1:25" x14ac:dyDescent="0.2">
      <c r="A1440" s="995"/>
      <c r="B1440" s="995"/>
      <c r="C1440" s="995"/>
      <c r="D1440" s="995"/>
      <c r="E1440" s="995"/>
      <c r="R1440" s="996"/>
      <c r="S1440" s="996"/>
      <c r="T1440" s="996"/>
      <c r="U1440" s="996"/>
      <c r="V1440" s="996"/>
      <c r="W1440" s="996"/>
      <c r="X1440" s="996"/>
      <c r="Y1440" s="996"/>
    </row>
    <row r="1441" spans="1:25" x14ac:dyDescent="0.2">
      <c r="A1441" s="995"/>
      <c r="B1441" s="995"/>
      <c r="C1441" s="995"/>
      <c r="D1441" s="995"/>
      <c r="E1441" s="995"/>
      <c r="R1441" s="996"/>
      <c r="S1441" s="996"/>
      <c r="T1441" s="996"/>
      <c r="U1441" s="996"/>
      <c r="V1441" s="996"/>
      <c r="W1441" s="996"/>
      <c r="X1441" s="996"/>
      <c r="Y1441" s="996"/>
    </row>
    <row r="1442" spans="1:25" x14ac:dyDescent="0.2">
      <c r="A1442" s="995"/>
      <c r="B1442" s="995"/>
      <c r="C1442" s="995"/>
      <c r="D1442" s="995"/>
      <c r="E1442" s="995"/>
      <c r="R1442" s="996"/>
      <c r="S1442" s="996"/>
      <c r="T1442" s="996"/>
      <c r="U1442" s="996"/>
      <c r="V1442" s="996"/>
      <c r="W1442" s="996"/>
      <c r="X1442" s="996"/>
      <c r="Y1442" s="996"/>
    </row>
    <row r="1443" spans="1:25" x14ac:dyDescent="0.2">
      <c r="A1443" s="995"/>
      <c r="B1443" s="995"/>
      <c r="C1443" s="995"/>
      <c r="D1443" s="995"/>
      <c r="E1443" s="995"/>
      <c r="R1443" s="996"/>
      <c r="S1443" s="996"/>
      <c r="T1443" s="996"/>
      <c r="U1443" s="996"/>
      <c r="V1443" s="996"/>
      <c r="W1443" s="996"/>
      <c r="X1443" s="996"/>
      <c r="Y1443" s="996"/>
    </row>
    <row r="1444" spans="1:25" x14ac:dyDescent="0.2">
      <c r="A1444" s="995"/>
      <c r="B1444" s="995"/>
      <c r="C1444" s="995"/>
      <c r="D1444" s="995"/>
      <c r="E1444" s="995"/>
      <c r="R1444" s="996"/>
      <c r="S1444" s="996"/>
      <c r="T1444" s="996"/>
      <c r="U1444" s="996"/>
      <c r="V1444" s="996"/>
      <c r="W1444" s="996"/>
      <c r="X1444" s="996"/>
      <c r="Y1444" s="996"/>
    </row>
    <row r="1445" spans="1:25" x14ac:dyDescent="0.2">
      <c r="A1445" s="995"/>
      <c r="B1445" s="995"/>
      <c r="C1445" s="995"/>
      <c r="D1445" s="995"/>
      <c r="E1445" s="995"/>
      <c r="R1445" s="996"/>
      <c r="S1445" s="996"/>
      <c r="T1445" s="996"/>
      <c r="U1445" s="996"/>
      <c r="V1445" s="996"/>
      <c r="W1445" s="996"/>
      <c r="X1445" s="996"/>
      <c r="Y1445" s="996"/>
    </row>
    <row r="1446" spans="1:25" x14ac:dyDescent="0.2">
      <c r="A1446" s="995"/>
      <c r="B1446" s="995"/>
      <c r="C1446" s="995"/>
      <c r="D1446" s="995"/>
      <c r="E1446" s="995"/>
      <c r="R1446" s="996"/>
      <c r="S1446" s="996"/>
      <c r="T1446" s="996"/>
      <c r="U1446" s="996"/>
      <c r="V1446" s="996"/>
      <c r="W1446" s="996"/>
      <c r="X1446" s="996"/>
      <c r="Y1446" s="996"/>
    </row>
    <row r="1447" spans="1:25" x14ac:dyDescent="0.2">
      <c r="A1447" s="995"/>
      <c r="B1447" s="995"/>
      <c r="C1447" s="995"/>
      <c r="D1447" s="995"/>
      <c r="E1447" s="995"/>
      <c r="R1447" s="996"/>
      <c r="S1447" s="996"/>
      <c r="T1447" s="996"/>
      <c r="U1447" s="996"/>
      <c r="V1447" s="996"/>
      <c r="W1447" s="996"/>
      <c r="X1447" s="996"/>
      <c r="Y1447" s="996"/>
    </row>
    <row r="1448" spans="1:25" x14ac:dyDescent="0.2">
      <c r="A1448" s="995"/>
      <c r="B1448" s="995"/>
      <c r="C1448" s="995"/>
      <c r="D1448" s="995"/>
      <c r="E1448" s="995"/>
      <c r="R1448" s="996"/>
      <c r="S1448" s="996"/>
      <c r="T1448" s="996"/>
      <c r="U1448" s="996"/>
      <c r="V1448" s="996"/>
      <c r="W1448" s="996"/>
      <c r="X1448" s="996"/>
      <c r="Y1448" s="996"/>
    </row>
    <row r="1449" spans="1:25" x14ac:dyDescent="0.2">
      <c r="A1449" s="995"/>
      <c r="B1449" s="995"/>
      <c r="C1449" s="995"/>
      <c r="D1449" s="995"/>
      <c r="E1449" s="995"/>
      <c r="R1449" s="996"/>
      <c r="S1449" s="996"/>
      <c r="T1449" s="996"/>
      <c r="U1449" s="996"/>
      <c r="V1449" s="996"/>
      <c r="W1449" s="996"/>
      <c r="X1449" s="996"/>
      <c r="Y1449" s="996"/>
    </row>
    <row r="1450" spans="1:25" x14ac:dyDescent="0.2">
      <c r="A1450" s="995"/>
      <c r="B1450" s="995"/>
      <c r="C1450" s="995"/>
      <c r="D1450" s="995"/>
      <c r="E1450" s="995"/>
      <c r="R1450" s="996"/>
      <c r="S1450" s="996"/>
      <c r="T1450" s="996"/>
      <c r="U1450" s="996"/>
      <c r="V1450" s="996"/>
      <c r="W1450" s="996"/>
      <c r="X1450" s="996"/>
      <c r="Y1450" s="996"/>
    </row>
    <row r="1451" spans="1:25" x14ac:dyDescent="0.2">
      <c r="A1451" s="995"/>
      <c r="B1451" s="995"/>
      <c r="C1451" s="995"/>
      <c r="D1451" s="995"/>
      <c r="E1451" s="995"/>
      <c r="R1451" s="996"/>
      <c r="S1451" s="996"/>
      <c r="T1451" s="996"/>
      <c r="U1451" s="996"/>
      <c r="V1451" s="996"/>
      <c r="W1451" s="996"/>
      <c r="X1451" s="996"/>
      <c r="Y1451" s="996"/>
    </row>
    <row r="1452" spans="1:25" x14ac:dyDescent="0.2">
      <c r="A1452" s="995"/>
      <c r="B1452" s="995"/>
      <c r="C1452" s="995"/>
      <c r="D1452" s="995"/>
      <c r="E1452" s="995"/>
      <c r="R1452" s="996"/>
      <c r="S1452" s="996"/>
      <c r="T1452" s="996"/>
      <c r="U1452" s="996"/>
      <c r="V1452" s="996"/>
      <c r="W1452" s="996"/>
      <c r="X1452" s="996"/>
      <c r="Y1452" s="996"/>
    </row>
    <row r="1453" spans="1:25" x14ac:dyDescent="0.2">
      <c r="A1453" s="995"/>
      <c r="B1453" s="995"/>
      <c r="C1453" s="995"/>
      <c r="D1453" s="995"/>
      <c r="E1453" s="995"/>
      <c r="R1453" s="996"/>
      <c r="S1453" s="996"/>
      <c r="T1453" s="996"/>
      <c r="U1453" s="996"/>
      <c r="V1453" s="996"/>
      <c r="W1453" s="996"/>
      <c r="X1453" s="996"/>
      <c r="Y1453" s="996"/>
    </row>
    <row r="1454" spans="1:25" x14ac:dyDescent="0.2">
      <c r="A1454" s="995"/>
      <c r="B1454" s="995"/>
      <c r="C1454" s="995"/>
      <c r="D1454" s="995"/>
      <c r="E1454" s="995"/>
      <c r="R1454" s="996"/>
      <c r="S1454" s="996"/>
      <c r="T1454" s="996"/>
      <c r="U1454" s="996"/>
      <c r="V1454" s="996"/>
      <c r="W1454" s="996"/>
      <c r="X1454" s="996"/>
      <c r="Y1454" s="996"/>
    </row>
    <row r="1455" spans="1:25" x14ac:dyDescent="0.2">
      <c r="A1455" s="995"/>
      <c r="B1455" s="995"/>
      <c r="C1455" s="995"/>
      <c r="D1455" s="995"/>
      <c r="E1455" s="995"/>
      <c r="R1455" s="996"/>
      <c r="S1455" s="996"/>
      <c r="T1455" s="996"/>
      <c r="U1455" s="996"/>
      <c r="V1455" s="996"/>
      <c r="W1455" s="996"/>
      <c r="X1455" s="996"/>
      <c r="Y1455" s="996"/>
    </row>
    <row r="1456" spans="1:25" x14ac:dyDescent="0.2">
      <c r="A1456" s="995"/>
      <c r="B1456" s="995"/>
      <c r="C1456" s="995"/>
      <c r="D1456" s="995"/>
      <c r="E1456" s="995"/>
      <c r="R1456" s="996"/>
      <c r="S1456" s="996"/>
      <c r="T1456" s="996"/>
      <c r="U1456" s="996"/>
      <c r="V1456" s="996"/>
      <c r="W1456" s="996"/>
      <c r="X1456" s="996"/>
      <c r="Y1456" s="996"/>
    </row>
    <row r="1457" spans="1:25" x14ac:dyDescent="0.2">
      <c r="A1457" s="995"/>
      <c r="B1457" s="995"/>
      <c r="C1457" s="995"/>
      <c r="D1457" s="995"/>
      <c r="E1457" s="995"/>
      <c r="R1457" s="996"/>
      <c r="S1457" s="996"/>
      <c r="T1457" s="996"/>
      <c r="U1457" s="996"/>
      <c r="V1457" s="996"/>
      <c r="W1457" s="996"/>
      <c r="X1457" s="996"/>
      <c r="Y1457" s="996"/>
    </row>
    <row r="1458" spans="1:25" x14ac:dyDescent="0.2">
      <c r="A1458" s="995"/>
      <c r="B1458" s="995"/>
      <c r="C1458" s="995"/>
      <c r="D1458" s="995"/>
      <c r="E1458" s="995"/>
      <c r="R1458" s="996"/>
      <c r="S1458" s="996"/>
      <c r="T1458" s="996"/>
      <c r="U1458" s="996"/>
      <c r="V1458" s="996"/>
      <c r="W1458" s="996"/>
      <c r="X1458" s="996"/>
      <c r="Y1458" s="996"/>
    </row>
    <row r="1459" spans="1:25" x14ac:dyDescent="0.2">
      <c r="A1459" s="995"/>
      <c r="B1459" s="995"/>
      <c r="C1459" s="995"/>
      <c r="D1459" s="995"/>
      <c r="E1459" s="995"/>
      <c r="R1459" s="996"/>
      <c r="S1459" s="996"/>
      <c r="T1459" s="996"/>
      <c r="U1459" s="996"/>
      <c r="V1459" s="996"/>
      <c r="W1459" s="996"/>
      <c r="X1459" s="996"/>
      <c r="Y1459" s="996"/>
    </row>
    <row r="1460" spans="1:25" x14ac:dyDescent="0.2">
      <c r="A1460" s="995"/>
      <c r="B1460" s="995"/>
      <c r="C1460" s="995"/>
      <c r="D1460" s="995"/>
      <c r="E1460" s="995"/>
      <c r="R1460" s="996"/>
      <c r="S1460" s="996"/>
      <c r="T1460" s="996"/>
      <c r="U1460" s="996"/>
      <c r="V1460" s="996"/>
      <c r="W1460" s="996"/>
      <c r="X1460" s="996"/>
      <c r="Y1460" s="996"/>
    </row>
    <row r="1461" spans="1:25" x14ac:dyDescent="0.2">
      <c r="A1461" s="995"/>
      <c r="B1461" s="995"/>
      <c r="C1461" s="995"/>
      <c r="D1461" s="995"/>
      <c r="E1461" s="995"/>
      <c r="R1461" s="996"/>
      <c r="S1461" s="996"/>
      <c r="T1461" s="996"/>
      <c r="U1461" s="996"/>
      <c r="V1461" s="996"/>
      <c r="W1461" s="996"/>
      <c r="X1461" s="996"/>
      <c r="Y1461" s="996"/>
    </row>
    <row r="1462" spans="1:25" x14ac:dyDescent="0.2">
      <c r="A1462" s="995"/>
      <c r="B1462" s="995"/>
      <c r="C1462" s="995"/>
      <c r="D1462" s="995"/>
      <c r="E1462" s="995"/>
      <c r="R1462" s="996"/>
      <c r="S1462" s="996"/>
      <c r="T1462" s="996"/>
      <c r="U1462" s="996"/>
      <c r="V1462" s="996"/>
      <c r="W1462" s="996"/>
      <c r="X1462" s="996"/>
      <c r="Y1462" s="996"/>
    </row>
    <row r="1463" spans="1:25" x14ac:dyDescent="0.2">
      <c r="A1463" s="995"/>
      <c r="B1463" s="995"/>
      <c r="C1463" s="995"/>
      <c r="D1463" s="995"/>
      <c r="E1463" s="995"/>
      <c r="R1463" s="996"/>
      <c r="S1463" s="996"/>
      <c r="T1463" s="996"/>
      <c r="U1463" s="996"/>
      <c r="V1463" s="996"/>
      <c r="W1463" s="996"/>
      <c r="X1463" s="996"/>
      <c r="Y1463" s="996"/>
    </row>
    <row r="1464" spans="1:25" x14ac:dyDescent="0.2">
      <c r="A1464" s="995"/>
      <c r="B1464" s="995"/>
      <c r="C1464" s="995"/>
      <c r="D1464" s="995"/>
      <c r="E1464" s="995"/>
      <c r="R1464" s="996"/>
      <c r="S1464" s="996"/>
      <c r="T1464" s="996"/>
      <c r="U1464" s="996"/>
      <c r="V1464" s="996"/>
      <c r="W1464" s="996"/>
      <c r="X1464" s="996"/>
      <c r="Y1464" s="996"/>
    </row>
    <row r="1465" spans="1:25" x14ac:dyDescent="0.2">
      <c r="A1465" s="995"/>
      <c r="B1465" s="995"/>
      <c r="C1465" s="995"/>
      <c r="D1465" s="995"/>
      <c r="E1465" s="995"/>
      <c r="R1465" s="996"/>
      <c r="S1465" s="996"/>
      <c r="T1465" s="996"/>
      <c r="U1465" s="996"/>
      <c r="V1465" s="996"/>
      <c r="W1465" s="996"/>
      <c r="X1465" s="996"/>
      <c r="Y1465" s="996"/>
    </row>
    <row r="1466" spans="1:25" x14ac:dyDescent="0.2">
      <c r="A1466" s="995"/>
      <c r="B1466" s="995"/>
      <c r="C1466" s="995"/>
      <c r="D1466" s="995"/>
      <c r="E1466" s="995"/>
      <c r="R1466" s="996"/>
      <c r="S1466" s="996"/>
      <c r="T1466" s="996"/>
      <c r="U1466" s="996"/>
      <c r="V1466" s="996"/>
      <c r="W1466" s="996"/>
      <c r="X1466" s="996"/>
      <c r="Y1466" s="996"/>
    </row>
    <row r="1467" spans="1:25" x14ac:dyDescent="0.2">
      <c r="A1467" s="995"/>
      <c r="B1467" s="995"/>
      <c r="C1467" s="995"/>
      <c r="D1467" s="995"/>
      <c r="E1467" s="995"/>
      <c r="R1467" s="996"/>
      <c r="S1467" s="996"/>
      <c r="T1467" s="996"/>
      <c r="U1467" s="996"/>
      <c r="V1467" s="996"/>
      <c r="W1467" s="996"/>
      <c r="X1467" s="996"/>
      <c r="Y1467" s="996"/>
    </row>
    <row r="1468" spans="1:25" x14ac:dyDescent="0.2">
      <c r="A1468" s="995"/>
      <c r="B1468" s="995"/>
      <c r="C1468" s="995"/>
      <c r="D1468" s="995"/>
      <c r="E1468" s="995"/>
      <c r="R1468" s="996"/>
      <c r="S1468" s="996"/>
      <c r="T1468" s="996"/>
      <c r="U1468" s="996"/>
      <c r="V1468" s="996"/>
      <c r="W1468" s="996"/>
      <c r="X1468" s="996"/>
      <c r="Y1468" s="996"/>
    </row>
    <row r="1469" spans="1:25" x14ac:dyDescent="0.2">
      <c r="A1469" s="995"/>
      <c r="B1469" s="995"/>
      <c r="C1469" s="995"/>
      <c r="D1469" s="995"/>
      <c r="E1469" s="995"/>
      <c r="R1469" s="996"/>
      <c r="S1469" s="996"/>
      <c r="T1469" s="996"/>
      <c r="U1469" s="996"/>
      <c r="V1469" s="996"/>
      <c r="W1469" s="996"/>
      <c r="X1469" s="996"/>
      <c r="Y1469" s="996"/>
    </row>
    <row r="1470" spans="1:25" x14ac:dyDescent="0.2">
      <c r="A1470" s="995"/>
      <c r="B1470" s="995"/>
      <c r="C1470" s="995"/>
      <c r="D1470" s="995"/>
      <c r="E1470" s="995"/>
      <c r="R1470" s="996"/>
      <c r="S1470" s="996"/>
      <c r="T1470" s="996"/>
      <c r="U1470" s="996"/>
      <c r="V1470" s="996"/>
      <c r="W1470" s="996"/>
      <c r="X1470" s="996"/>
      <c r="Y1470" s="996"/>
    </row>
    <row r="1471" spans="1:25" x14ac:dyDescent="0.2">
      <c r="A1471" s="995"/>
      <c r="B1471" s="995"/>
      <c r="C1471" s="995"/>
      <c r="D1471" s="995"/>
      <c r="E1471" s="995"/>
      <c r="R1471" s="996"/>
      <c r="S1471" s="996"/>
      <c r="T1471" s="996"/>
      <c r="U1471" s="996"/>
      <c r="V1471" s="996"/>
      <c r="W1471" s="996"/>
      <c r="X1471" s="996"/>
      <c r="Y1471" s="996"/>
    </row>
    <row r="1472" spans="1:25" x14ac:dyDescent="0.2">
      <c r="A1472" s="995"/>
      <c r="B1472" s="995"/>
      <c r="C1472" s="995"/>
      <c r="D1472" s="995"/>
      <c r="E1472" s="995"/>
      <c r="R1472" s="996"/>
      <c r="S1472" s="996"/>
      <c r="T1472" s="996"/>
      <c r="U1472" s="996"/>
      <c r="V1472" s="996"/>
      <c r="W1472" s="996"/>
      <c r="X1472" s="996"/>
      <c r="Y1472" s="996"/>
    </row>
    <row r="1473" spans="1:25" x14ac:dyDescent="0.2">
      <c r="A1473" s="995"/>
      <c r="B1473" s="995"/>
      <c r="C1473" s="995"/>
      <c r="D1473" s="995"/>
      <c r="E1473" s="995"/>
      <c r="R1473" s="996"/>
      <c r="S1473" s="996"/>
      <c r="T1473" s="996"/>
      <c r="U1473" s="996"/>
      <c r="V1473" s="996"/>
      <c r="W1473" s="996"/>
      <c r="X1473" s="996"/>
      <c r="Y1473" s="996"/>
    </row>
    <row r="1474" spans="1:25" x14ac:dyDescent="0.2">
      <c r="A1474" s="995"/>
      <c r="B1474" s="995"/>
      <c r="C1474" s="995"/>
      <c r="D1474" s="995"/>
      <c r="E1474" s="995"/>
      <c r="R1474" s="996"/>
      <c r="S1474" s="996"/>
      <c r="T1474" s="996"/>
      <c r="U1474" s="996"/>
      <c r="V1474" s="996"/>
      <c r="W1474" s="996"/>
      <c r="X1474" s="996"/>
      <c r="Y1474" s="996"/>
    </row>
    <row r="1475" spans="1:25" x14ac:dyDescent="0.2">
      <c r="A1475" s="995"/>
      <c r="B1475" s="995"/>
      <c r="C1475" s="995"/>
      <c r="D1475" s="995"/>
      <c r="E1475" s="995"/>
      <c r="R1475" s="996"/>
      <c r="S1475" s="996"/>
      <c r="T1475" s="996"/>
      <c r="U1475" s="996"/>
      <c r="V1475" s="996"/>
      <c r="W1475" s="996"/>
      <c r="X1475" s="996"/>
      <c r="Y1475" s="996"/>
    </row>
    <row r="1476" spans="1:25" x14ac:dyDescent="0.2">
      <c r="A1476" s="995"/>
      <c r="B1476" s="995"/>
      <c r="C1476" s="995"/>
      <c r="D1476" s="995"/>
      <c r="E1476" s="995"/>
      <c r="R1476" s="996"/>
      <c r="S1476" s="996"/>
      <c r="T1476" s="996"/>
      <c r="U1476" s="996"/>
      <c r="V1476" s="996"/>
      <c r="W1476" s="996"/>
      <c r="X1476" s="996"/>
      <c r="Y1476" s="996"/>
    </row>
    <row r="1477" spans="1:25" x14ac:dyDescent="0.2">
      <c r="A1477" s="995"/>
      <c r="B1477" s="995"/>
      <c r="C1477" s="995"/>
      <c r="D1477" s="995"/>
      <c r="E1477" s="995"/>
      <c r="R1477" s="996"/>
      <c r="S1477" s="996"/>
      <c r="T1477" s="996"/>
      <c r="U1477" s="996"/>
      <c r="V1477" s="996"/>
      <c r="W1477" s="996"/>
      <c r="X1477" s="996"/>
      <c r="Y1477" s="996"/>
    </row>
    <row r="1478" spans="1:25" x14ac:dyDescent="0.2">
      <c r="A1478" s="995"/>
      <c r="B1478" s="995"/>
      <c r="C1478" s="995"/>
      <c r="D1478" s="995"/>
      <c r="E1478" s="995"/>
      <c r="R1478" s="996"/>
      <c r="S1478" s="996"/>
      <c r="T1478" s="996"/>
      <c r="U1478" s="996"/>
      <c r="V1478" s="996"/>
      <c r="W1478" s="996"/>
      <c r="X1478" s="996"/>
      <c r="Y1478" s="996"/>
    </row>
    <row r="1479" spans="1:25" x14ac:dyDescent="0.2">
      <c r="A1479" s="995"/>
      <c r="B1479" s="995"/>
      <c r="C1479" s="995"/>
      <c r="D1479" s="995"/>
      <c r="E1479" s="995"/>
      <c r="R1479" s="996"/>
      <c r="S1479" s="996"/>
      <c r="T1479" s="996"/>
      <c r="U1479" s="996"/>
      <c r="V1479" s="996"/>
      <c r="W1479" s="996"/>
      <c r="X1479" s="996"/>
      <c r="Y1479" s="996"/>
    </row>
    <row r="1480" spans="1:25" x14ac:dyDescent="0.2">
      <c r="A1480" s="995"/>
      <c r="B1480" s="995"/>
      <c r="C1480" s="995"/>
      <c r="D1480" s="995"/>
      <c r="E1480" s="995"/>
      <c r="R1480" s="996"/>
      <c r="S1480" s="996"/>
      <c r="T1480" s="996"/>
      <c r="U1480" s="996"/>
      <c r="V1480" s="996"/>
      <c r="W1480" s="996"/>
      <c r="X1480" s="996"/>
      <c r="Y1480" s="996"/>
    </row>
    <row r="1481" spans="1:25" x14ac:dyDescent="0.2">
      <c r="A1481" s="995"/>
      <c r="B1481" s="995"/>
      <c r="C1481" s="995"/>
      <c r="D1481" s="995"/>
      <c r="E1481" s="995"/>
      <c r="R1481" s="996"/>
      <c r="S1481" s="996"/>
      <c r="T1481" s="996"/>
      <c r="U1481" s="996"/>
      <c r="V1481" s="996"/>
      <c r="W1481" s="996"/>
      <c r="X1481" s="996"/>
      <c r="Y1481" s="996"/>
    </row>
    <row r="1482" spans="1:25" x14ac:dyDescent="0.2">
      <c r="A1482" s="995"/>
      <c r="B1482" s="995"/>
      <c r="C1482" s="995"/>
      <c r="D1482" s="995"/>
      <c r="E1482" s="995"/>
      <c r="R1482" s="996"/>
      <c r="S1482" s="996"/>
      <c r="T1482" s="996"/>
      <c r="U1482" s="996"/>
      <c r="V1482" s="996"/>
      <c r="W1482" s="996"/>
      <c r="X1482" s="996"/>
      <c r="Y1482" s="996"/>
    </row>
    <row r="1483" spans="1:25" x14ac:dyDescent="0.2">
      <c r="A1483" s="995"/>
      <c r="B1483" s="995"/>
      <c r="C1483" s="995"/>
      <c r="D1483" s="995"/>
      <c r="E1483" s="995"/>
      <c r="R1483" s="996"/>
      <c r="S1483" s="996"/>
      <c r="T1483" s="996"/>
      <c r="U1483" s="996"/>
      <c r="V1483" s="996"/>
      <c r="W1483" s="996"/>
      <c r="X1483" s="996"/>
      <c r="Y1483" s="996"/>
    </row>
    <row r="1484" spans="1:25" x14ac:dyDescent="0.2">
      <c r="A1484" s="995"/>
      <c r="B1484" s="995"/>
      <c r="C1484" s="995"/>
      <c r="D1484" s="995"/>
      <c r="E1484" s="995"/>
      <c r="R1484" s="996"/>
      <c r="S1484" s="996"/>
      <c r="T1484" s="996"/>
      <c r="U1484" s="996"/>
      <c r="V1484" s="996"/>
      <c r="W1484" s="996"/>
      <c r="X1484" s="996"/>
      <c r="Y1484" s="996"/>
    </row>
    <row r="1485" spans="1:25" x14ac:dyDescent="0.2">
      <c r="A1485" s="995"/>
      <c r="B1485" s="995"/>
      <c r="C1485" s="995"/>
      <c r="D1485" s="995"/>
      <c r="E1485" s="995"/>
      <c r="R1485" s="996"/>
      <c r="S1485" s="996"/>
      <c r="T1485" s="996"/>
      <c r="U1485" s="996"/>
      <c r="V1485" s="996"/>
      <c r="W1485" s="996"/>
      <c r="X1485" s="996"/>
      <c r="Y1485" s="996"/>
    </row>
    <row r="1486" spans="1:25" x14ac:dyDescent="0.2">
      <c r="A1486" s="995"/>
      <c r="B1486" s="995"/>
      <c r="C1486" s="995"/>
      <c r="D1486" s="995"/>
      <c r="E1486" s="995"/>
      <c r="R1486" s="996"/>
      <c r="S1486" s="996"/>
      <c r="T1486" s="996"/>
      <c r="U1486" s="996"/>
      <c r="V1486" s="996"/>
      <c r="W1486" s="996"/>
      <c r="X1486" s="996"/>
      <c r="Y1486" s="996"/>
    </row>
    <row r="1487" spans="1:25" x14ac:dyDescent="0.2">
      <c r="A1487" s="995"/>
      <c r="B1487" s="995"/>
      <c r="C1487" s="995"/>
      <c r="D1487" s="995"/>
      <c r="E1487" s="995"/>
      <c r="R1487" s="996"/>
      <c r="S1487" s="996"/>
      <c r="T1487" s="996"/>
      <c r="U1487" s="996"/>
      <c r="V1487" s="996"/>
      <c r="W1487" s="996"/>
      <c r="X1487" s="996"/>
      <c r="Y1487" s="996"/>
    </row>
    <row r="1488" spans="1:25" x14ac:dyDescent="0.2">
      <c r="A1488" s="995"/>
      <c r="B1488" s="995"/>
      <c r="C1488" s="995"/>
      <c r="D1488" s="995"/>
      <c r="E1488" s="995"/>
      <c r="R1488" s="996"/>
      <c r="S1488" s="996"/>
      <c r="T1488" s="996"/>
      <c r="U1488" s="996"/>
      <c r="V1488" s="996"/>
      <c r="W1488" s="996"/>
      <c r="X1488" s="996"/>
      <c r="Y1488" s="996"/>
    </row>
    <row r="1489" spans="1:25" x14ac:dyDescent="0.2">
      <c r="A1489" s="995"/>
      <c r="B1489" s="995"/>
      <c r="C1489" s="995"/>
      <c r="D1489" s="995"/>
      <c r="E1489" s="995"/>
      <c r="R1489" s="996"/>
      <c r="S1489" s="996"/>
      <c r="T1489" s="996"/>
      <c r="U1489" s="996"/>
      <c r="V1489" s="996"/>
      <c r="W1489" s="996"/>
      <c r="X1489" s="996"/>
      <c r="Y1489" s="996"/>
    </row>
    <row r="1490" spans="1:25" x14ac:dyDescent="0.2">
      <c r="A1490" s="995"/>
      <c r="B1490" s="995"/>
      <c r="C1490" s="995"/>
      <c r="D1490" s="995"/>
      <c r="E1490" s="995"/>
      <c r="R1490" s="996"/>
      <c r="S1490" s="996"/>
      <c r="T1490" s="996"/>
      <c r="U1490" s="996"/>
      <c r="V1490" s="996"/>
      <c r="W1490" s="996"/>
      <c r="X1490" s="996"/>
      <c r="Y1490" s="996"/>
    </row>
    <row r="1491" spans="1:25" x14ac:dyDescent="0.2">
      <c r="A1491" s="995"/>
      <c r="B1491" s="995"/>
      <c r="C1491" s="995"/>
      <c r="D1491" s="995"/>
      <c r="E1491" s="995"/>
      <c r="R1491" s="996"/>
      <c r="S1491" s="996"/>
      <c r="T1491" s="996"/>
      <c r="U1491" s="996"/>
      <c r="V1491" s="996"/>
      <c r="W1491" s="996"/>
      <c r="X1491" s="996"/>
      <c r="Y1491" s="996"/>
    </row>
    <row r="1492" spans="1:25" x14ac:dyDescent="0.2">
      <c r="A1492" s="995"/>
      <c r="B1492" s="995"/>
      <c r="C1492" s="995"/>
      <c r="D1492" s="995"/>
      <c r="E1492" s="995"/>
      <c r="R1492" s="996"/>
      <c r="S1492" s="996"/>
      <c r="T1492" s="996"/>
      <c r="U1492" s="996"/>
      <c r="V1492" s="996"/>
      <c r="W1492" s="996"/>
      <c r="X1492" s="996"/>
      <c r="Y1492" s="996"/>
    </row>
    <row r="1493" spans="1:25" x14ac:dyDescent="0.2">
      <c r="A1493" s="995"/>
      <c r="B1493" s="995"/>
      <c r="C1493" s="995"/>
      <c r="D1493" s="995"/>
      <c r="E1493" s="995"/>
      <c r="R1493" s="996"/>
      <c r="S1493" s="996"/>
      <c r="T1493" s="996"/>
      <c r="U1493" s="996"/>
      <c r="V1493" s="996"/>
      <c r="W1493" s="996"/>
      <c r="X1493" s="996"/>
      <c r="Y1493" s="996"/>
    </row>
    <row r="1494" spans="1:25" x14ac:dyDescent="0.2">
      <c r="A1494" s="995"/>
      <c r="B1494" s="995"/>
      <c r="C1494" s="995"/>
      <c r="D1494" s="995"/>
      <c r="E1494" s="995"/>
      <c r="R1494" s="996"/>
      <c r="S1494" s="996"/>
      <c r="T1494" s="996"/>
      <c r="U1494" s="996"/>
      <c r="V1494" s="996"/>
      <c r="W1494" s="996"/>
      <c r="X1494" s="996"/>
      <c r="Y1494" s="996"/>
    </row>
    <row r="1495" spans="1:25" x14ac:dyDescent="0.2">
      <c r="A1495" s="995"/>
      <c r="B1495" s="995"/>
      <c r="C1495" s="995"/>
      <c r="D1495" s="995"/>
      <c r="E1495" s="995"/>
      <c r="R1495" s="996"/>
      <c r="S1495" s="996"/>
      <c r="T1495" s="996"/>
      <c r="U1495" s="996"/>
      <c r="V1495" s="996"/>
      <c r="W1495" s="996"/>
      <c r="X1495" s="996"/>
      <c r="Y1495" s="996"/>
    </row>
    <row r="1496" spans="1:25" x14ac:dyDescent="0.2">
      <c r="A1496" s="995"/>
      <c r="B1496" s="995"/>
      <c r="C1496" s="995"/>
      <c r="D1496" s="995"/>
      <c r="E1496" s="995"/>
      <c r="R1496" s="996"/>
      <c r="S1496" s="996"/>
      <c r="T1496" s="996"/>
      <c r="U1496" s="996"/>
      <c r="V1496" s="996"/>
      <c r="W1496" s="996"/>
      <c r="X1496" s="996"/>
      <c r="Y1496" s="996"/>
    </row>
    <row r="1497" spans="1:25" x14ac:dyDescent="0.2">
      <c r="A1497" s="995"/>
      <c r="B1497" s="995"/>
      <c r="C1497" s="995"/>
      <c r="D1497" s="995"/>
      <c r="E1497" s="995"/>
      <c r="R1497" s="996"/>
      <c r="S1497" s="996"/>
      <c r="T1497" s="996"/>
      <c r="U1497" s="996"/>
      <c r="V1497" s="996"/>
      <c r="W1497" s="996"/>
      <c r="X1497" s="996"/>
      <c r="Y1497" s="996"/>
    </row>
    <row r="1498" spans="1:25" x14ac:dyDescent="0.2">
      <c r="A1498" s="995"/>
      <c r="B1498" s="995"/>
      <c r="C1498" s="995"/>
      <c r="D1498" s="995"/>
      <c r="E1498" s="995"/>
      <c r="R1498" s="996"/>
      <c r="S1498" s="996"/>
      <c r="T1498" s="996"/>
      <c r="U1498" s="996"/>
      <c r="V1498" s="996"/>
      <c r="W1498" s="996"/>
      <c r="X1498" s="996"/>
      <c r="Y1498" s="996"/>
    </row>
    <row r="1499" spans="1:25" x14ac:dyDescent="0.2">
      <c r="A1499" s="995"/>
      <c r="B1499" s="995"/>
      <c r="C1499" s="995"/>
      <c r="D1499" s="995"/>
      <c r="E1499" s="995"/>
      <c r="R1499" s="996"/>
      <c r="S1499" s="996"/>
      <c r="T1499" s="996"/>
      <c r="U1499" s="996"/>
      <c r="V1499" s="996"/>
      <c r="W1499" s="996"/>
      <c r="X1499" s="996"/>
      <c r="Y1499" s="996"/>
    </row>
    <row r="1500" spans="1:25" x14ac:dyDescent="0.2">
      <c r="A1500" s="995"/>
      <c r="B1500" s="995"/>
      <c r="C1500" s="995"/>
      <c r="D1500" s="995"/>
      <c r="E1500" s="995"/>
      <c r="R1500" s="996"/>
      <c r="S1500" s="996"/>
      <c r="T1500" s="996"/>
      <c r="U1500" s="996"/>
      <c r="V1500" s="996"/>
      <c r="W1500" s="996"/>
      <c r="X1500" s="996"/>
      <c r="Y1500" s="996"/>
    </row>
    <row r="1501" spans="1:25" x14ac:dyDescent="0.2">
      <c r="A1501" s="995"/>
      <c r="B1501" s="995"/>
      <c r="C1501" s="995"/>
      <c r="D1501" s="995"/>
      <c r="E1501" s="995"/>
      <c r="R1501" s="996"/>
      <c r="S1501" s="996"/>
      <c r="T1501" s="996"/>
      <c r="U1501" s="996"/>
      <c r="V1501" s="996"/>
      <c r="W1501" s="996"/>
      <c r="X1501" s="996"/>
      <c r="Y1501" s="996"/>
    </row>
    <row r="1502" spans="1:25" x14ac:dyDescent="0.2">
      <c r="A1502" s="995"/>
      <c r="B1502" s="995"/>
      <c r="C1502" s="995"/>
      <c r="D1502" s="995"/>
      <c r="E1502" s="995"/>
      <c r="R1502" s="996"/>
      <c r="S1502" s="996"/>
      <c r="T1502" s="996"/>
      <c r="U1502" s="996"/>
      <c r="V1502" s="996"/>
      <c r="W1502" s="996"/>
      <c r="X1502" s="996"/>
      <c r="Y1502" s="996"/>
    </row>
    <row r="1503" spans="1:25" x14ac:dyDescent="0.2">
      <c r="A1503" s="995"/>
      <c r="B1503" s="995"/>
      <c r="C1503" s="995"/>
      <c r="D1503" s="995"/>
      <c r="E1503" s="995"/>
      <c r="R1503" s="996"/>
      <c r="S1503" s="996"/>
      <c r="T1503" s="996"/>
      <c r="U1503" s="996"/>
      <c r="V1503" s="996"/>
      <c r="W1503" s="996"/>
      <c r="X1503" s="996"/>
      <c r="Y1503" s="996"/>
    </row>
    <row r="1504" spans="1:25" x14ac:dyDescent="0.2">
      <c r="A1504" s="995"/>
      <c r="B1504" s="995"/>
      <c r="C1504" s="995"/>
      <c r="D1504" s="995"/>
      <c r="E1504" s="995"/>
      <c r="R1504" s="996"/>
      <c r="S1504" s="996"/>
      <c r="T1504" s="996"/>
      <c r="U1504" s="996"/>
      <c r="V1504" s="996"/>
      <c r="W1504" s="996"/>
      <c r="X1504" s="996"/>
      <c r="Y1504" s="996"/>
    </row>
    <row r="1505" spans="1:25" x14ac:dyDescent="0.2">
      <c r="A1505" s="995"/>
      <c r="B1505" s="995"/>
      <c r="C1505" s="995"/>
      <c r="D1505" s="995"/>
      <c r="E1505" s="995"/>
      <c r="R1505" s="996"/>
      <c r="S1505" s="996"/>
      <c r="T1505" s="996"/>
      <c r="U1505" s="996"/>
      <c r="V1505" s="996"/>
      <c r="W1505" s="996"/>
      <c r="X1505" s="996"/>
      <c r="Y1505" s="996"/>
    </row>
    <row r="1506" spans="1:25" x14ac:dyDescent="0.2">
      <c r="A1506" s="995"/>
      <c r="B1506" s="995"/>
      <c r="C1506" s="995"/>
      <c r="D1506" s="995"/>
      <c r="E1506" s="995"/>
      <c r="R1506" s="996"/>
      <c r="S1506" s="996"/>
      <c r="T1506" s="996"/>
      <c r="U1506" s="996"/>
      <c r="V1506" s="996"/>
      <c r="W1506" s="996"/>
      <c r="X1506" s="996"/>
      <c r="Y1506" s="996"/>
    </row>
    <row r="1507" spans="1:25" x14ac:dyDescent="0.2">
      <c r="A1507" s="995"/>
      <c r="B1507" s="995"/>
      <c r="C1507" s="995"/>
      <c r="D1507" s="995"/>
      <c r="E1507" s="995"/>
      <c r="R1507" s="996"/>
      <c r="S1507" s="996"/>
      <c r="T1507" s="996"/>
      <c r="U1507" s="996"/>
      <c r="V1507" s="996"/>
      <c r="W1507" s="996"/>
      <c r="X1507" s="996"/>
      <c r="Y1507" s="996"/>
    </row>
    <row r="1508" spans="1:25" x14ac:dyDescent="0.2">
      <c r="A1508" s="995"/>
      <c r="B1508" s="995"/>
      <c r="C1508" s="995"/>
      <c r="D1508" s="995"/>
      <c r="E1508" s="995"/>
      <c r="R1508" s="996"/>
      <c r="S1508" s="996"/>
      <c r="T1508" s="996"/>
      <c r="U1508" s="996"/>
      <c r="V1508" s="996"/>
      <c r="W1508" s="996"/>
      <c r="X1508" s="996"/>
      <c r="Y1508" s="996"/>
    </row>
    <row r="1509" spans="1:25" x14ac:dyDescent="0.2">
      <c r="A1509" s="995"/>
      <c r="B1509" s="995"/>
      <c r="C1509" s="995"/>
      <c r="D1509" s="995"/>
      <c r="E1509" s="995"/>
      <c r="R1509" s="996"/>
      <c r="S1509" s="996"/>
      <c r="T1509" s="996"/>
      <c r="U1509" s="996"/>
      <c r="V1509" s="996"/>
      <c r="W1509" s="996"/>
      <c r="X1509" s="996"/>
      <c r="Y1509" s="996"/>
    </row>
    <row r="1510" spans="1:25" x14ac:dyDescent="0.2">
      <c r="A1510" s="995"/>
      <c r="B1510" s="995"/>
      <c r="C1510" s="995"/>
      <c r="D1510" s="995"/>
      <c r="E1510" s="995"/>
      <c r="R1510" s="996"/>
      <c r="S1510" s="996"/>
      <c r="T1510" s="996"/>
      <c r="U1510" s="996"/>
      <c r="V1510" s="996"/>
      <c r="W1510" s="996"/>
      <c r="X1510" s="996"/>
      <c r="Y1510" s="996"/>
    </row>
    <row r="1511" spans="1:25" x14ac:dyDescent="0.2">
      <c r="A1511" s="995"/>
      <c r="B1511" s="995"/>
      <c r="C1511" s="995"/>
      <c r="D1511" s="995"/>
      <c r="E1511" s="995"/>
      <c r="R1511" s="996"/>
      <c r="S1511" s="996"/>
      <c r="T1511" s="996"/>
      <c r="U1511" s="996"/>
      <c r="V1511" s="996"/>
      <c r="W1511" s="996"/>
      <c r="X1511" s="996"/>
      <c r="Y1511" s="996"/>
    </row>
    <row r="1512" spans="1:25" x14ac:dyDescent="0.2">
      <c r="A1512" s="995"/>
      <c r="B1512" s="995"/>
      <c r="C1512" s="995"/>
      <c r="D1512" s="995"/>
      <c r="E1512" s="995"/>
      <c r="R1512" s="996"/>
      <c r="S1512" s="996"/>
      <c r="T1512" s="996"/>
      <c r="U1512" s="996"/>
      <c r="V1512" s="996"/>
      <c r="W1512" s="996"/>
      <c r="X1512" s="996"/>
      <c r="Y1512" s="996"/>
    </row>
    <row r="1513" spans="1:25" x14ac:dyDescent="0.2">
      <c r="A1513" s="995"/>
      <c r="B1513" s="995"/>
      <c r="C1513" s="995"/>
      <c r="D1513" s="995"/>
      <c r="E1513" s="995"/>
      <c r="R1513" s="996"/>
      <c r="S1513" s="996"/>
      <c r="T1513" s="996"/>
      <c r="U1513" s="996"/>
      <c r="V1513" s="996"/>
      <c r="W1513" s="996"/>
      <c r="X1513" s="996"/>
      <c r="Y1513" s="996"/>
    </row>
    <row r="1514" spans="1:25" x14ac:dyDescent="0.2">
      <c r="A1514" s="995"/>
      <c r="B1514" s="995"/>
      <c r="C1514" s="995"/>
      <c r="D1514" s="995"/>
      <c r="E1514" s="995"/>
      <c r="R1514" s="996"/>
      <c r="S1514" s="996"/>
      <c r="T1514" s="996"/>
      <c r="U1514" s="996"/>
      <c r="V1514" s="996"/>
      <c r="W1514" s="996"/>
      <c r="X1514" s="996"/>
      <c r="Y1514" s="996"/>
    </row>
    <row r="1515" spans="1:25" x14ac:dyDescent="0.2">
      <c r="A1515" s="995"/>
      <c r="B1515" s="995"/>
      <c r="C1515" s="995"/>
      <c r="D1515" s="995"/>
      <c r="E1515" s="995"/>
      <c r="R1515" s="996"/>
      <c r="S1515" s="996"/>
      <c r="T1515" s="996"/>
      <c r="U1515" s="996"/>
      <c r="V1515" s="996"/>
      <c r="W1515" s="996"/>
      <c r="X1515" s="996"/>
      <c r="Y1515" s="996"/>
    </row>
    <row r="1516" spans="1:25" x14ac:dyDescent="0.2">
      <c r="A1516" s="995"/>
      <c r="B1516" s="995"/>
      <c r="C1516" s="995"/>
      <c r="D1516" s="995"/>
      <c r="E1516" s="995"/>
      <c r="R1516" s="996"/>
      <c r="S1516" s="996"/>
      <c r="T1516" s="996"/>
      <c r="U1516" s="996"/>
      <c r="V1516" s="996"/>
      <c r="W1516" s="996"/>
      <c r="X1516" s="996"/>
      <c r="Y1516" s="996"/>
    </row>
    <row r="1517" spans="1:25" x14ac:dyDescent="0.2">
      <c r="A1517" s="995"/>
      <c r="B1517" s="995"/>
      <c r="C1517" s="995"/>
      <c r="D1517" s="995"/>
      <c r="E1517" s="995"/>
      <c r="R1517" s="996"/>
      <c r="S1517" s="996"/>
      <c r="T1517" s="996"/>
      <c r="U1517" s="996"/>
      <c r="V1517" s="996"/>
      <c r="W1517" s="996"/>
      <c r="X1517" s="996"/>
      <c r="Y1517" s="996"/>
    </row>
    <row r="1518" spans="1:25" x14ac:dyDescent="0.2">
      <c r="A1518" s="995"/>
      <c r="B1518" s="995"/>
      <c r="C1518" s="995"/>
      <c r="D1518" s="995"/>
      <c r="E1518" s="995"/>
      <c r="R1518" s="996"/>
      <c r="S1518" s="996"/>
      <c r="T1518" s="996"/>
      <c r="U1518" s="996"/>
      <c r="V1518" s="996"/>
      <c r="W1518" s="996"/>
      <c r="X1518" s="996"/>
      <c r="Y1518" s="996"/>
    </row>
    <row r="1519" spans="1:25" x14ac:dyDescent="0.2">
      <c r="A1519" s="995"/>
      <c r="B1519" s="995"/>
      <c r="C1519" s="995"/>
      <c r="D1519" s="995"/>
      <c r="E1519" s="995"/>
      <c r="R1519" s="996"/>
      <c r="S1519" s="996"/>
      <c r="T1519" s="996"/>
      <c r="U1519" s="996"/>
      <c r="V1519" s="996"/>
      <c r="W1519" s="996"/>
      <c r="X1519" s="996"/>
      <c r="Y1519" s="996"/>
    </row>
    <row r="1520" spans="1:25" x14ac:dyDescent="0.2">
      <c r="A1520" s="995"/>
      <c r="B1520" s="995"/>
      <c r="C1520" s="995"/>
      <c r="D1520" s="995"/>
      <c r="E1520" s="995"/>
      <c r="R1520" s="996"/>
      <c r="S1520" s="996"/>
      <c r="T1520" s="996"/>
      <c r="U1520" s="996"/>
      <c r="V1520" s="996"/>
      <c r="W1520" s="996"/>
      <c r="X1520" s="996"/>
      <c r="Y1520" s="996"/>
    </row>
    <row r="1521" spans="1:25" x14ac:dyDescent="0.2">
      <c r="A1521" s="995"/>
      <c r="B1521" s="995"/>
      <c r="C1521" s="995"/>
      <c r="D1521" s="995"/>
      <c r="E1521" s="995"/>
      <c r="R1521" s="996"/>
      <c r="S1521" s="996"/>
      <c r="T1521" s="996"/>
      <c r="U1521" s="996"/>
      <c r="V1521" s="996"/>
      <c r="W1521" s="996"/>
      <c r="X1521" s="996"/>
      <c r="Y1521" s="996"/>
    </row>
    <row r="1522" spans="1:25" x14ac:dyDescent="0.2">
      <c r="A1522" s="995"/>
      <c r="B1522" s="995"/>
      <c r="C1522" s="995"/>
      <c r="D1522" s="995"/>
      <c r="E1522" s="995"/>
      <c r="R1522" s="996"/>
      <c r="S1522" s="996"/>
      <c r="T1522" s="996"/>
      <c r="U1522" s="996"/>
      <c r="V1522" s="996"/>
      <c r="W1522" s="996"/>
      <c r="X1522" s="996"/>
      <c r="Y1522" s="996"/>
    </row>
    <row r="1523" spans="1:25" x14ac:dyDescent="0.2">
      <c r="A1523" s="995"/>
      <c r="B1523" s="995"/>
      <c r="C1523" s="995"/>
      <c r="D1523" s="995"/>
      <c r="E1523" s="995"/>
      <c r="R1523" s="996"/>
      <c r="S1523" s="996"/>
      <c r="T1523" s="996"/>
      <c r="U1523" s="996"/>
      <c r="V1523" s="996"/>
      <c r="W1523" s="996"/>
      <c r="X1523" s="996"/>
      <c r="Y1523" s="996"/>
    </row>
    <row r="1524" spans="1:25" x14ac:dyDescent="0.2">
      <c r="A1524" s="995"/>
      <c r="B1524" s="995"/>
      <c r="C1524" s="995"/>
      <c r="D1524" s="995"/>
      <c r="E1524" s="995"/>
      <c r="R1524" s="996"/>
      <c r="S1524" s="996"/>
      <c r="T1524" s="996"/>
      <c r="U1524" s="996"/>
      <c r="V1524" s="996"/>
      <c r="W1524" s="996"/>
      <c r="X1524" s="996"/>
      <c r="Y1524" s="996"/>
    </row>
    <row r="1525" spans="1:25" x14ac:dyDescent="0.2">
      <c r="A1525" s="995"/>
      <c r="B1525" s="995"/>
      <c r="C1525" s="995"/>
      <c r="D1525" s="995"/>
      <c r="E1525" s="995"/>
      <c r="R1525" s="996"/>
      <c r="S1525" s="996"/>
      <c r="T1525" s="996"/>
      <c r="U1525" s="996"/>
      <c r="V1525" s="996"/>
      <c r="W1525" s="996"/>
      <c r="X1525" s="996"/>
      <c r="Y1525" s="996"/>
    </row>
    <row r="1526" spans="1:25" x14ac:dyDescent="0.2">
      <c r="A1526" s="995"/>
      <c r="B1526" s="995"/>
      <c r="C1526" s="995"/>
      <c r="D1526" s="995"/>
      <c r="E1526" s="995"/>
      <c r="R1526" s="996"/>
      <c r="S1526" s="996"/>
      <c r="T1526" s="996"/>
      <c r="U1526" s="996"/>
      <c r="V1526" s="996"/>
      <c r="W1526" s="996"/>
      <c r="X1526" s="996"/>
      <c r="Y1526" s="996"/>
    </row>
    <row r="1527" spans="1:25" x14ac:dyDescent="0.2">
      <c r="A1527" s="995"/>
      <c r="B1527" s="995"/>
      <c r="C1527" s="995"/>
      <c r="D1527" s="995"/>
      <c r="E1527" s="995"/>
      <c r="R1527" s="996"/>
      <c r="S1527" s="996"/>
      <c r="T1527" s="996"/>
      <c r="U1527" s="996"/>
      <c r="V1527" s="996"/>
      <c r="W1527" s="996"/>
      <c r="X1527" s="996"/>
      <c r="Y1527" s="996"/>
    </row>
    <row r="1528" spans="1:25" x14ac:dyDescent="0.2">
      <c r="A1528" s="995"/>
      <c r="B1528" s="995"/>
      <c r="C1528" s="995"/>
      <c r="D1528" s="995"/>
      <c r="E1528" s="995"/>
      <c r="R1528" s="996"/>
      <c r="S1528" s="996"/>
      <c r="T1528" s="996"/>
      <c r="U1528" s="996"/>
      <c r="V1528" s="996"/>
      <c r="W1528" s="996"/>
      <c r="X1528" s="996"/>
      <c r="Y1528" s="996"/>
    </row>
    <row r="1529" spans="1:25" x14ac:dyDescent="0.2">
      <c r="A1529" s="995"/>
      <c r="B1529" s="995"/>
      <c r="C1529" s="995"/>
      <c r="D1529" s="995"/>
      <c r="E1529" s="995"/>
      <c r="R1529" s="996"/>
      <c r="S1529" s="996"/>
      <c r="T1529" s="996"/>
      <c r="U1529" s="996"/>
      <c r="V1529" s="996"/>
      <c r="W1529" s="996"/>
      <c r="X1529" s="996"/>
      <c r="Y1529" s="996"/>
    </row>
    <row r="1530" spans="1:25" x14ac:dyDescent="0.2">
      <c r="A1530" s="995"/>
      <c r="B1530" s="995"/>
      <c r="C1530" s="995"/>
      <c r="D1530" s="995"/>
      <c r="E1530" s="995"/>
      <c r="R1530" s="996"/>
      <c r="S1530" s="996"/>
      <c r="T1530" s="996"/>
      <c r="U1530" s="996"/>
      <c r="V1530" s="996"/>
      <c r="W1530" s="996"/>
      <c r="X1530" s="996"/>
      <c r="Y1530" s="996"/>
    </row>
    <row r="1531" spans="1:25" x14ac:dyDescent="0.2">
      <c r="A1531" s="995"/>
      <c r="B1531" s="995"/>
      <c r="C1531" s="995"/>
      <c r="D1531" s="995"/>
      <c r="E1531" s="995"/>
      <c r="R1531" s="996"/>
      <c r="S1531" s="996"/>
      <c r="T1531" s="996"/>
      <c r="U1531" s="996"/>
      <c r="V1531" s="996"/>
      <c r="W1531" s="996"/>
      <c r="X1531" s="996"/>
      <c r="Y1531" s="996"/>
    </row>
    <row r="1532" spans="1:25" x14ac:dyDescent="0.2">
      <c r="A1532" s="995"/>
      <c r="B1532" s="995"/>
      <c r="C1532" s="995"/>
      <c r="D1532" s="995"/>
      <c r="E1532" s="995"/>
      <c r="R1532" s="996"/>
      <c r="S1532" s="996"/>
      <c r="T1532" s="996"/>
      <c r="U1532" s="996"/>
      <c r="V1532" s="996"/>
      <c r="W1532" s="996"/>
      <c r="X1532" s="996"/>
      <c r="Y1532" s="996"/>
    </row>
    <row r="1533" spans="1:25" x14ac:dyDescent="0.2">
      <c r="A1533" s="995"/>
      <c r="B1533" s="995"/>
      <c r="C1533" s="995"/>
      <c r="D1533" s="995"/>
      <c r="E1533" s="995"/>
      <c r="R1533" s="996"/>
      <c r="S1533" s="996"/>
      <c r="T1533" s="996"/>
      <c r="U1533" s="996"/>
      <c r="V1533" s="996"/>
      <c r="W1533" s="996"/>
      <c r="X1533" s="996"/>
      <c r="Y1533" s="996"/>
    </row>
    <row r="1534" spans="1:25" x14ac:dyDescent="0.2">
      <c r="A1534" s="995"/>
      <c r="B1534" s="995"/>
      <c r="C1534" s="995"/>
      <c r="D1534" s="995"/>
      <c r="E1534" s="995"/>
      <c r="R1534" s="996"/>
      <c r="S1534" s="996"/>
      <c r="T1534" s="996"/>
      <c r="U1534" s="996"/>
      <c r="V1534" s="996"/>
      <c r="W1534" s="996"/>
      <c r="X1534" s="996"/>
      <c r="Y1534" s="996"/>
    </row>
    <row r="1535" spans="1:25" x14ac:dyDescent="0.2">
      <c r="A1535" s="995"/>
      <c r="B1535" s="995"/>
      <c r="C1535" s="995"/>
      <c r="D1535" s="995"/>
      <c r="E1535" s="995"/>
      <c r="R1535" s="996"/>
      <c r="S1535" s="996"/>
      <c r="T1535" s="996"/>
      <c r="U1535" s="996"/>
      <c r="V1535" s="996"/>
      <c r="W1535" s="996"/>
      <c r="X1535" s="996"/>
      <c r="Y1535" s="996"/>
    </row>
    <row r="1536" spans="1:25" x14ac:dyDescent="0.2">
      <c r="A1536" s="995"/>
      <c r="B1536" s="995"/>
      <c r="C1536" s="995"/>
      <c r="D1536" s="995"/>
      <c r="E1536" s="995"/>
      <c r="R1536" s="996"/>
      <c r="S1536" s="996"/>
      <c r="T1536" s="996"/>
      <c r="U1536" s="996"/>
      <c r="V1536" s="996"/>
      <c r="W1536" s="996"/>
      <c r="X1536" s="996"/>
      <c r="Y1536" s="996"/>
    </row>
    <row r="1537" spans="1:25" x14ac:dyDescent="0.2">
      <c r="A1537" s="995"/>
      <c r="B1537" s="995"/>
      <c r="C1537" s="995"/>
      <c r="D1537" s="995"/>
      <c r="E1537" s="995"/>
      <c r="R1537" s="996"/>
      <c r="S1537" s="996"/>
      <c r="T1537" s="996"/>
      <c r="U1537" s="996"/>
      <c r="V1537" s="996"/>
      <c r="W1537" s="996"/>
      <c r="X1537" s="996"/>
      <c r="Y1537" s="996"/>
    </row>
    <row r="1538" spans="1:25" x14ac:dyDescent="0.2">
      <c r="A1538" s="995"/>
      <c r="B1538" s="995"/>
      <c r="C1538" s="995"/>
      <c r="D1538" s="995"/>
      <c r="E1538" s="995"/>
      <c r="R1538" s="996"/>
      <c r="S1538" s="996"/>
      <c r="T1538" s="996"/>
      <c r="U1538" s="996"/>
      <c r="V1538" s="996"/>
      <c r="W1538" s="996"/>
      <c r="X1538" s="996"/>
      <c r="Y1538" s="996"/>
    </row>
    <row r="1539" spans="1:25" x14ac:dyDescent="0.2">
      <c r="A1539" s="995"/>
      <c r="B1539" s="995"/>
      <c r="C1539" s="995"/>
      <c r="D1539" s="995"/>
      <c r="E1539" s="995"/>
      <c r="R1539" s="996"/>
      <c r="S1539" s="996"/>
      <c r="T1539" s="996"/>
      <c r="U1539" s="996"/>
      <c r="V1539" s="996"/>
      <c r="W1539" s="996"/>
      <c r="X1539" s="996"/>
      <c r="Y1539" s="996"/>
    </row>
    <row r="1540" spans="1:25" x14ac:dyDescent="0.2">
      <c r="A1540" s="995"/>
      <c r="B1540" s="995"/>
      <c r="C1540" s="995"/>
      <c r="D1540" s="995"/>
      <c r="E1540" s="995"/>
      <c r="R1540" s="996"/>
      <c r="S1540" s="996"/>
      <c r="T1540" s="996"/>
      <c r="U1540" s="996"/>
      <c r="V1540" s="996"/>
      <c r="W1540" s="996"/>
      <c r="X1540" s="996"/>
      <c r="Y1540" s="996"/>
    </row>
    <row r="1541" spans="1:25" x14ac:dyDescent="0.2">
      <c r="A1541" s="995"/>
      <c r="B1541" s="995"/>
      <c r="C1541" s="995"/>
      <c r="D1541" s="995"/>
      <c r="E1541" s="995"/>
      <c r="R1541" s="996"/>
      <c r="S1541" s="996"/>
      <c r="T1541" s="996"/>
      <c r="U1541" s="996"/>
      <c r="V1541" s="996"/>
      <c r="W1541" s="996"/>
      <c r="X1541" s="996"/>
      <c r="Y1541" s="996"/>
    </row>
    <row r="1542" spans="1:25" x14ac:dyDescent="0.2">
      <c r="A1542" s="995"/>
      <c r="B1542" s="995"/>
      <c r="C1542" s="995"/>
      <c r="D1542" s="995"/>
      <c r="E1542" s="995"/>
      <c r="R1542" s="996"/>
      <c r="S1542" s="996"/>
      <c r="T1542" s="996"/>
      <c r="U1542" s="996"/>
      <c r="V1542" s="996"/>
      <c r="W1542" s="996"/>
      <c r="X1542" s="996"/>
      <c r="Y1542" s="996"/>
    </row>
    <row r="1543" spans="1:25" x14ac:dyDescent="0.2">
      <c r="A1543" s="995"/>
      <c r="B1543" s="995"/>
      <c r="C1543" s="995"/>
      <c r="D1543" s="995"/>
      <c r="E1543" s="995"/>
      <c r="R1543" s="996"/>
      <c r="S1543" s="996"/>
      <c r="T1543" s="996"/>
      <c r="U1543" s="996"/>
      <c r="V1543" s="996"/>
      <c r="W1543" s="996"/>
      <c r="X1543" s="996"/>
      <c r="Y1543" s="996"/>
    </row>
    <row r="1544" spans="1:25" x14ac:dyDescent="0.2">
      <c r="A1544" s="995"/>
      <c r="B1544" s="995"/>
      <c r="C1544" s="995"/>
      <c r="D1544" s="995"/>
      <c r="E1544" s="995"/>
      <c r="R1544" s="996"/>
      <c r="S1544" s="996"/>
      <c r="T1544" s="996"/>
      <c r="U1544" s="996"/>
      <c r="V1544" s="996"/>
      <c r="W1544" s="996"/>
      <c r="X1544" s="996"/>
      <c r="Y1544" s="996"/>
    </row>
    <row r="1545" spans="1:25" x14ac:dyDescent="0.2">
      <c r="A1545" s="995"/>
      <c r="B1545" s="995"/>
      <c r="C1545" s="995"/>
      <c r="D1545" s="995"/>
      <c r="E1545" s="995"/>
      <c r="R1545" s="996"/>
      <c r="S1545" s="996"/>
      <c r="T1545" s="996"/>
      <c r="U1545" s="996"/>
      <c r="V1545" s="996"/>
      <c r="W1545" s="996"/>
      <c r="X1545" s="996"/>
      <c r="Y1545" s="996"/>
    </row>
    <row r="1546" spans="1:25" x14ac:dyDescent="0.2">
      <c r="A1546" s="995"/>
      <c r="B1546" s="995"/>
      <c r="C1546" s="995"/>
      <c r="D1546" s="995"/>
      <c r="E1546" s="995"/>
      <c r="R1546" s="996"/>
      <c r="S1546" s="996"/>
      <c r="T1546" s="996"/>
      <c r="U1546" s="996"/>
      <c r="V1546" s="996"/>
      <c r="W1546" s="996"/>
      <c r="X1546" s="996"/>
      <c r="Y1546" s="996"/>
    </row>
    <row r="1547" spans="1:25" x14ac:dyDescent="0.2">
      <c r="A1547" s="995"/>
      <c r="B1547" s="995"/>
      <c r="C1547" s="995"/>
      <c r="D1547" s="995"/>
      <c r="E1547" s="995"/>
      <c r="R1547" s="996"/>
      <c r="S1547" s="996"/>
      <c r="T1547" s="996"/>
      <c r="U1547" s="996"/>
      <c r="V1547" s="996"/>
      <c r="W1547" s="996"/>
      <c r="X1547" s="996"/>
      <c r="Y1547" s="996"/>
    </row>
    <row r="1548" spans="1:25" x14ac:dyDescent="0.2">
      <c r="A1548" s="995"/>
      <c r="B1548" s="995"/>
      <c r="C1548" s="995"/>
      <c r="D1548" s="995"/>
      <c r="E1548" s="995"/>
      <c r="R1548" s="996"/>
      <c r="S1548" s="996"/>
      <c r="T1548" s="996"/>
      <c r="U1548" s="996"/>
      <c r="V1548" s="996"/>
      <c r="W1548" s="996"/>
      <c r="X1548" s="996"/>
      <c r="Y1548" s="996"/>
    </row>
    <row r="1549" spans="1:25" x14ac:dyDescent="0.2">
      <c r="A1549" s="995"/>
      <c r="B1549" s="995"/>
      <c r="C1549" s="995"/>
      <c r="D1549" s="995"/>
      <c r="E1549" s="995"/>
      <c r="R1549" s="996"/>
      <c r="S1549" s="996"/>
      <c r="T1549" s="996"/>
      <c r="U1549" s="996"/>
      <c r="V1549" s="996"/>
      <c r="W1549" s="996"/>
      <c r="X1549" s="996"/>
      <c r="Y1549" s="996"/>
    </row>
    <row r="1550" spans="1:25" x14ac:dyDescent="0.2">
      <c r="A1550" s="995"/>
      <c r="B1550" s="995"/>
      <c r="C1550" s="995"/>
      <c r="D1550" s="995"/>
      <c r="E1550" s="995"/>
      <c r="R1550" s="996"/>
      <c r="S1550" s="996"/>
      <c r="T1550" s="996"/>
      <c r="U1550" s="996"/>
      <c r="V1550" s="996"/>
      <c r="W1550" s="996"/>
      <c r="X1550" s="996"/>
      <c r="Y1550" s="996"/>
    </row>
    <row r="1551" spans="1:25" x14ac:dyDescent="0.2">
      <c r="A1551" s="995"/>
      <c r="B1551" s="995"/>
      <c r="C1551" s="995"/>
      <c r="D1551" s="995"/>
      <c r="E1551" s="995"/>
      <c r="R1551" s="996"/>
      <c r="S1551" s="996"/>
      <c r="T1551" s="996"/>
      <c r="U1551" s="996"/>
      <c r="V1551" s="996"/>
      <c r="W1551" s="996"/>
      <c r="X1551" s="996"/>
      <c r="Y1551" s="996"/>
    </row>
    <row r="1552" spans="1:25" x14ac:dyDescent="0.2">
      <c r="A1552" s="995"/>
      <c r="B1552" s="995"/>
      <c r="C1552" s="995"/>
      <c r="D1552" s="995"/>
      <c r="E1552" s="995"/>
      <c r="R1552" s="996"/>
      <c r="S1552" s="996"/>
      <c r="T1552" s="996"/>
      <c r="U1552" s="996"/>
      <c r="V1552" s="996"/>
      <c r="W1552" s="996"/>
      <c r="X1552" s="996"/>
      <c r="Y1552" s="996"/>
    </row>
    <row r="1553" spans="1:25" x14ac:dyDescent="0.2">
      <c r="A1553" s="995"/>
      <c r="B1553" s="995"/>
      <c r="C1553" s="995"/>
      <c r="D1553" s="995"/>
      <c r="E1553" s="995"/>
      <c r="R1553" s="996"/>
      <c r="S1553" s="996"/>
      <c r="T1553" s="996"/>
      <c r="U1553" s="996"/>
      <c r="V1553" s="996"/>
      <c r="W1553" s="996"/>
      <c r="X1553" s="996"/>
      <c r="Y1553" s="996"/>
    </row>
    <row r="1554" spans="1:25" x14ac:dyDescent="0.2">
      <c r="A1554" s="995"/>
      <c r="B1554" s="995"/>
      <c r="C1554" s="995"/>
      <c r="D1554" s="995"/>
      <c r="E1554" s="995"/>
      <c r="R1554" s="996"/>
      <c r="S1554" s="996"/>
      <c r="T1554" s="996"/>
      <c r="U1554" s="996"/>
      <c r="V1554" s="996"/>
      <c r="W1554" s="996"/>
      <c r="X1554" s="996"/>
      <c r="Y1554" s="996"/>
    </row>
    <row r="1555" spans="1:25" x14ac:dyDescent="0.2">
      <c r="A1555" s="995"/>
      <c r="B1555" s="995"/>
      <c r="C1555" s="995"/>
      <c r="D1555" s="995"/>
      <c r="E1555" s="995"/>
      <c r="R1555" s="996"/>
      <c r="S1555" s="996"/>
      <c r="T1555" s="996"/>
      <c r="U1555" s="996"/>
      <c r="V1555" s="996"/>
      <c r="W1555" s="996"/>
      <c r="X1555" s="996"/>
      <c r="Y1555" s="996"/>
    </row>
    <row r="1556" spans="1:25" x14ac:dyDescent="0.2">
      <c r="A1556" s="995"/>
      <c r="B1556" s="995"/>
      <c r="C1556" s="995"/>
      <c r="D1556" s="995"/>
      <c r="E1556" s="995"/>
      <c r="R1556" s="996"/>
      <c r="S1556" s="996"/>
      <c r="T1556" s="996"/>
      <c r="U1556" s="996"/>
      <c r="V1556" s="996"/>
      <c r="W1556" s="996"/>
      <c r="X1556" s="996"/>
      <c r="Y1556" s="996"/>
    </row>
    <row r="1557" spans="1:25" x14ac:dyDescent="0.2">
      <c r="A1557" s="995"/>
      <c r="B1557" s="995"/>
      <c r="C1557" s="995"/>
      <c r="D1557" s="995"/>
      <c r="E1557" s="995"/>
      <c r="R1557" s="996"/>
      <c r="S1557" s="996"/>
      <c r="T1557" s="996"/>
      <c r="U1557" s="996"/>
      <c r="V1557" s="996"/>
      <c r="W1557" s="996"/>
      <c r="X1557" s="996"/>
      <c r="Y1557" s="996"/>
    </row>
    <row r="1558" spans="1:25" x14ac:dyDescent="0.2">
      <c r="A1558" s="995"/>
      <c r="B1558" s="995"/>
      <c r="C1558" s="995"/>
      <c r="D1558" s="995"/>
      <c r="E1558" s="995"/>
      <c r="R1558" s="996"/>
      <c r="S1558" s="996"/>
      <c r="T1558" s="996"/>
      <c r="U1558" s="996"/>
      <c r="V1558" s="996"/>
      <c r="W1558" s="996"/>
      <c r="X1558" s="996"/>
      <c r="Y1558" s="996"/>
    </row>
    <row r="1559" spans="1:25" x14ac:dyDescent="0.2">
      <c r="A1559" s="995"/>
      <c r="B1559" s="995"/>
      <c r="C1559" s="995"/>
      <c r="D1559" s="995"/>
      <c r="E1559" s="995"/>
      <c r="R1559" s="996"/>
      <c r="S1559" s="996"/>
      <c r="T1559" s="996"/>
      <c r="U1559" s="996"/>
      <c r="V1559" s="996"/>
      <c r="W1559" s="996"/>
      <c r="X1559" s="996"/>
      <c r="Y1559" s="996"/>
    </row>
    <row r="1560" spans="1:25" x14ac:dyDescent="0.2">
      <c r="A1560" s="995"/>
      <c r="B1560" s="995"/>
      <c r="C1560" s="995"/>
      <c r="D1560" s="995"/>
      <c r="E1560" s="995"/>
      <c r="R1560" s="996"/>
      <c r="S1560" s="996"/>
      <c r="T1560" s="996"/>
      <c r="U1560" s="996"/>
      <c r="V1560" s="996"/>
      <c r="W1560" s="996"/>
      <c r="X1560" s="996"/>
      <c r="Y1560" s="996"/>
    </row>
    <row r="1561" spans="1:25" x14ac:dyDescent="0.2">
      <c r="A1561" s="995"/>
      <c r="B1561" s="995"/>
      <c r="C1561" s="995"/>
      <c r="D1561" s="995"/>
      <c r="E1561" s="995"/>
      <c r="R1561" s="996"/>
      <c r="S1561" s="996"/>
      <c r="T1561" s="996"/>
      <c r="U1561" s="996"/>
      <c r="V1561" s="996"/>
      <c r="W1561" s="996"/>
      <c r="X1561" s="996"/>
      <c r="Y1561" s="996"/>
    </row>
    <row r="1562" spans="1:25" x14ac:dyDescent="0.2">
      <c r="A1562" s="995"/>
      <c r="B1562" s="995"/>
      <c r="C1562" s="995"/>
      <c r="D1562" s="995"/>
      <c r="E1562" s="995"/>
      <c r="R1562" s="996"/>
      <c r="S1562" s="996"/>
      <c r="T1562" s="996"/>
      <c r="U1562" s="996"/>
      <c r="V1562" s="996"/>
      <c r="W1562" s="996"/>
      <c r="X1562" s="996"/>
      <c r="Y1562" s="996"/>
    </row>
    <row r="1563" spans="1:25" x14ac:dyDescent="0.2">
      <c r="A1563" s="995"/>
      <c r="B1563" s="995"/>
      <c r="C1563" s="995"/>
      <c r="D1563" s="995"/>
      <c r="E1563" s="995"/>
      <c r="R1563" s="996"/>
      <c r="S1563" s="996"/>
      <c r="T1563" s="996"/>
      <c r="U1563" s="996"/>
      <c r="V1563" s="996"/>
      <c r="W1563" s="996"/>
      <c r="X1563" s="996"/>
      <c r="Y1563" s="996"/>
    </row>
    <row r="1564" spans="1:25" x14ac:dyDescent="0.2">
      <c r="A1564" s="995"/>
      <c r="B1564" s="995"/>
      <c r="C1564" s="995"/>
      <c r="D1564" s="995"/>
      <c r="E1564" s="995"/>
      <c r="R1564" s="996"/>
      <c r="S1564" s="996"/>
      <c r="T1564" s="996"/>
      <c r="U1564" s="996"/>
      <c r="V1564" s="996"/>
      <c r="W1564" s="996"/>
      <c r="X1564" s="996"/>
      <c r="Y1564" s="996"/>
    </row>
    <row r="1565" spans="1:25" x14ac:dyDescent="0.2">
      <c r="A1565" s="995"/>
      <c r="B1565" s="995"/>
      <c r="C1565" s="995"/>
      <c r="D1565" s="995"/>
      <c r="E1565" s="995"/>
      <c r="R1565" s="996"/>
      <c r="S1565" s="996"/>
      <c r="T1565" s="996"/>
      <c r="U1565" s="996"/>
      <c r="V1565" s="996"/>
      <c r="W1565" s="996"/>
      <c r="X1565" s="996"/>
      <c r="Y1565" s="996"/>
    </row>
    <row r="1566" spans="1:25" x14ac:dyDescent="0.2">
      <c r="A1566" s="995"/>
      <c r="B1566" s="995"/>
      <c r="C1566" s="995"/>
      <c r="D1566" s="995"/>
      <c r="E1566" s="995"/>
      <c r="R1566" s="996"/>
      <c r="S1566" s="996"/>
      <c r="T1566" s="996"/>
      <c r="U1566" s="996"/>
      <c r="V1566" s="996"/>
      <c r="W1566" s="996"/>
      <c r="X1566" s="996"/>
      <c r="Y1566" s="996"/>
    </row>
    <row r="1567" spans="1:25" x14ac:dyDescent="0.2">
      <c r="A1567" s="995"/>
      <c r="B1567" s="995"/>
      <c r="C1567" s="995"/>
      <c r="D1567" s="995"/>
      <c r="E1567" s="995"/>
      <c r="R1567" s="996"/>
      <c r="S1567" s="996"/>
      <c r="T1567" s="996"/>
      <c r="U1567" s="996"/>
      <c r="V1567" s="996"/>
      <c r="W1567" s="996"/>
      <c r="X1567" s="996"/>
      <c r="Y1567" s="996"/>
    </row>
    <row r="1568" spans="1:25" x14ac:dyDescent="0.2">
      <c r="A1568" s="995"/>
      <c r="B1568" s="995"/>
      <c r="C1568" s="995"/>
      <c r="D1568" s="995"/>
      <c r="E1568" s="995"/>
      <c r="R1568" s="996"/>
      <c r="S1568" s="996"/>
      <c r="T1568" s="996"/>
      <c r="U1568" s="996"/>
      <c r="V1568" s="996"/>
      <c r="W1568" s="996"/>
      <c r="X1568" s="996"/>
      <c r="Y1568" s="996"/>
    </row>
    <row r="1569" spans="1:25" x14ac:dyDescent="0.2">
      <c r="A1569" s="995"/>
      <c r="B1569" s="995"/>
      <c r="C1569" s="995"/>
      <c r="D1569" s="995"/>
      <c r="E1569" s="995"/>
      <c r="R1569" s="996"/>
      <c r="S1569" s="996"/>
      <c r="T1569" s="996"/>
      <c r="U1569" s="996"/>
      <c r="V1569" s="996"/>
      <c r="W1569" s="996"/>
      <c r="X1569" s="996"/>
      <c r="Y1569" s="996"/>
    </row>
    <row r="1570" spans="1:25" x14ac:dyDescent="0.2">
      <c r="A1570" s="995"/>
      <c r="B1570" s="995"/>
      <c r="C1570" s="995"/>
      <c r="D1570" s="995"/>
      <c r="E1570" s="995"/>
      <c r="R1570" s="996"/>
      <c r="S1570" s="996"/>
      <c r="T1570" s="996"/>
      <c r="U1570" s="996"/>
      <c r="V1570" s="996"/>
      <c r="W1570" s="996"/>
      <c r="X1570" s="996"/>
      <c r="Y1570" s="996"/>
    </row>
    <row r="1571" spans="1:25" x14ac:dyDescent="0.2">
      <c r="A1571" s="995"/>
      <c r="B1571" s="995"/>
      <c r="C1571" s="995"/>
      <c r="D1571" s="995"/>
      <c r="E1571" s="995"/>
      <c r="R1571" s="996"/>
      <c r="S1571" s="996"/>
      <c r="T1571" s="996"/>
      <c r="U1571" s="996"/>
      <c r="V1571" s="996"/>
      <c r="W1571" s="996"/>
      <c r="X1571" s="996"/>
      <c r="Y1571" s="996"/>
    </row>
    <row r="1572" spans="1:25" x14ac:dyDescent="0.2">
      <c r="A1572" s="995"/>
      <c r="B1572" s="995"/>
      <c r="C1572" s="995"/>
      <c r="D1572" s="995"/>
      <c r="E1572" s="995"/>
      <c r="R1572" s="996"/>
      <c r="S1572" s="996"/>
      <c r="T1572" s="996"/>
      <c r="U1572" s="996"/>
      <c r="V1572" s="996"/>
      <c r="W1572" s="996"/>
      <c r="X1572" s="996"/>
      <c r="Y1572" s="996"/>
    </row>
    <row r="1573" spans="1:25" x14ac:dyDescent="0.2">
      <c r="A1573" s="995"/>
      <c r="B1573" s="995"/>
      <c r="C1573" s="995"/>
      <c r="D1573" s="995"/>
      <c r="E1573" s="995"/>
      <c r="R1573" s="996"/>
      <c r="S1573" s="996"/>
      <c r="T1573" s="996"/>
      <c r="U1573" s="996"/>
      <c r="V1573" s="996"/>
      <c r="W1573" s="996"/>
      <c r="X1573" s="996"/>
      <c r="Y1573" s="996"/>
    </row>
    <row r="1574" spans="1:25" x14ac:dyDescent="0.2">
      <c r="A1574" s="995"/>
      <c r="B1574" s="995"/>
      <c r="C1574" s="995"/>
      <c r="D1574" s="995"/>
      <c r="E1574" s="995"/>
      <c r="R1574" s="996"/>
      <c r="S1574" s="996"/>
      <c r="T1574" s="996"/>
      <c r="U1574" s="996"/>
      <c r="V1574" s="996"/>
      <c r="W1574" s="996"/>
      <c r="X1574" s="996"/>
      <c r="Y1574" s="996"/>
    </row>
    <row r="1575" spans="1:25" x14ac:dyDescent="0.2">
      <c r="A1575" s="995"/>
      <c r="B1575" s="995"/>
      <c r="C1575" s="995"/>
      <c r="D1575" s="995"/>
      <c r="E1575" s="995"/>
      <c r="R1575" s="996"/>
      <c r="S1575" s="996"/>
      <c r="T1575" s="996"/>
      <c r="U1575" s="996"/>
      <c r="V1575" s="996"/>
      <c r="W1575" s="996"/>
      <c r="X1575" s="996"/>
      <c r="Y1575" s="996"/>
    </row>
    <row r="1576" spans="1:25" x14ac:dyDescent="0.2">
      <c r="A1576" s="995"/>
      <c r="B1576" s="995"/>
      <c r="C1576" s="995"/>
      <c r="D1576" s="995"/>
      <c r="E1576" s="995"/>
      <c r="R1576" s="996"/>
      <c r="S1576" s="996"/>
      <c r="T1576" s="996"/>
      <c r="U1576" s="996"/>
      <c r="V1576" s="996"/>
      <c r="W1576" s="996"/>
      <c r="X1576" s="996"/>
      <c r="Y1576" s="996"/>
    </row>
    <row r="1577" spans="1:25" x14ac:dyDescent="0.2">
      <c r="A1577" s="995"/>
      <c r="B1577" s="995"/>
      <c r="C1577" s="995"/>
      <c r="D1577" s="995"/>
      <c r="E1577" s="995"/>
      <c r="R1577" s="996"/>
      <c r="S1577" s="996"/>
      <c r="T1577" s="996"/>
      <c r="U1577" s="996"/>
      <c r="V1577" s="996"/>
      <c r="W1577" s="996"/>
      <c r="X1577" s="996"/>
      <c r="Y1577" s="996"/>
    </row>
    <row r="1578" spans="1:25" x14ac:dyDescent="0.2">
      <c r="A1578" s="995"/>
      <c r="B1578" s="995"/>
      <c r="C1578" s="995"/>
      <c r="D1578" s="995"/>
      <c r="E1578" s="995"/>
      <c r="R1578" s="996"/>
      <c r="S1578" s="996"/>
      <c r="T1578" s="996"/>
      <c r="U1578" s="996"/>
      <c r="V1578" s="996"/>
      <c r="W1578" s="996"/>
      <c r="X1578" s="996"/>
      <c r="Y1578" s="996"/>
    </row>
    <row r="1579" spans="1:25" x14ac:dyDescent="0.2">
      <c r="A1579" s="995"/>
      <c r="B1579" s="995"/>
      <c r="C1579" s="995"/>
      <c r="D1579" s="995"/>
      <c r="E1579" s="995"/>
      <c r="R1579" s="996"/>
      <c r="S1579" s="996"/>
      <c r="T1579" s="996"/>
      <c r="U1579" s="996"/>
      <c r="V1579" s="996"/>
      <c r="W1579" s="996"/>
      <c r="X1579" s="996"/>
      <c r="Y1579" s="996"/>
    </row>
    <row r="1580" spans="1:25" x14ac:dyDescent="0.2">
      <c r="A1580" s="995"/>
      <c r="B1580" s="995"/>
      <c r="C1580" s="995"/>
      <c r="D1580" s="995"/>
      <c r="E1580" s="995"/>
      <c r="R1580" s="996"/>
      <c r="S1580" s="996"/>
      <c r="T1580" s="996"/>
      <c r="U1580" s="996"/>
      <c r="V1580" s="996"/>
      <c r="W1580" s="996"/>
      <c r="X1580" s="996"/>
      <c r="Y1580" s="996"/>
    </row>
    <row r="1581" spans="1:25" x14ac:dyDescent="0.2">
      <c r="A1581" s="995"/>
      <c r="B1581" s="995"/>
      <c r="C1581" s="995"/>
      <c r="D1581" s="995"/>
      <c r="E1581" s="995"/>
      <c r="R1581" s="996"/>
      <c r="S1581" s="996"/>
      <c r="T1581" s="996"/>
      <c r="U1581" s="996"/>
      <c r="V1581" s="996"/>
      <c r="W1581" s="996"/>
      <c r="X1581" s="996"/>
      <c r="Y1581" s="996"/>
    </row>
    <row r="1582" spans="1:25" x14ac:dyDescent="0.2">
      <c r="A1582" s="995"/>
      <c r="B1582" s="995"/>
      <c r="C1582" s="995"/>
      <c r="D1582" s="995"/>
      <c r="E1582" s="995"/>
      <c r="R1582" s="996"/>
      <c r="S1582" s="996"/>
      <c r="T1582" s="996"/>
      <c r="U1582" s="996"/>
      <c r="V1582" s="996"/>
      <c r="W1582" s="996"/>
      <c r="X1582" s="996"/>
      <c r="Y1582" s="996"/>
    </row>
    <row r="1583" spans="1:25" x14ac:dyDescent="0.2">
      <c r="E1583" s="995"/>
      <c r="R1583" s="996"/>
      <c r="S1583" s="996"/>
      <c r="T1583" s="996"/>
      <c r="U1583" s="996"/>
      <c r="V1583" s="996"/>
      <c r="W1583" s="996"/>
      <c r="X1583" s="996"/>
      <c r="Y1583" s="996"/>
    </row>
    <row r="1584" spans="1:25" x14ac:dyDescent="0.2">
      <c r="E1584" s="995"/>
      <c r="R1584" s="996"/>
      <c r="S1584" s="996"/>
      <c r="T1584" s="996"/>
      <c r="U1584" s="996"/>
      <c r="V1584" s="996"/>
      <c r="W1584" s="996"/>
      <c r="X1584" s="996"/>
      <c r="Y1584" s="996"/>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66" r:id="rId1" display="walter@tzaneen.gov.za"/>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C8" sqref="C8"/>
    </sheetView>
  </sheetViews>
  <sheetFormatPr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LIM333 Greater Tzaneen - Table B1 Adjustments Budget Summary - 27/02/2019</v>
      </c>
      <c r="B1" s="4"/>
      <c r="C1" s="4"/>
      <c r="D1" s="4"/>
      <c r="E1" s="4"/>
      <c r="F1" s="4"/>
      <c r="G1" s="4"/>
      <c r="H1" s="4"/>
      <c r="I1" s="4"/>
      <c r="J1" s="4"/>
      <c r="K1" s="4"/>
      <c r="L1" s="4"/>
    </row>
    <row r="2" spans="1:12" ht="38.25" customHeight="1" x14ac:dyDescent="0.25">
      <c r="A2" s="1393" t="str">
        <f>desc</f>
        <v>Description</v>
      </c>
      <c r="B2" s="1390" t="str">
        <f>Head2</f>
        <v>Budget Year 2018/19</v>
      </c>
      <c r="C2" s="1391"/>
      <c r="D2" s="1391"/>
      <c r="E2" s="1391"/>
      <c r="F2" s="1391"/>
      <c r="G2" s="1391"/>
      <c r="H2" s="1391"/>
      <c r="I2" s="1391"/>
      <c r="J2" s="1392"/>
      <c r="K2" s="6" t="str">
        <f>Head10</f>
        <v>Budget Year +1 2019/20</v>
      </c>
      <c r="L2" s="7" t="str">
        <f>Head11</f>
        <v>Budget Year +2 2020/21</v>
      </c>
    </row>
    <row r="3" spans="1:12" ht="25.5" x14ac:dyDescent="0.25">
      <c r="A3" s="1394"/>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4"/>
      <c r="B4" s="14"/>
      <c r="C4" s="15">
        <v>1</v>
      </c>
      <c r="D4" s="15">
        <v>2</v>
      </c>
      <c r="E4" s="15">
        <v>3</v>
      </c>
      <c r="F4" s="15">
        <v>4</v>
      </c>
      <c r="G4" s="15">
        <v>5</v>
      </c>
      <c r="H4" s="15">
        <v>6</v>
      </c>
      <c r="I4" s="15">
        <v>7</v>
      </c>
      <c r="J4" s="15">
        <v>8</v>
      </c>
      <c r="K4" s="16"/>
      <c r="L4" s="17"/>
    </row>
    <row r="5" spans="1:12" x14ac:dyDescent="0.25">
      <c r="A5" s="18" t="s">
        <v>605</v>
      </c>
      <c r="B5" s="19" t="s">
        <v>548</v>
      </c>
      <c r="C5" s="20" t="s">
        <v>549</v>
      </c>
      <c r="D5" s="20" t="s">
        <v>550</v>
      </c>
      <c r="E5" s="21" t="s">
        <v>551</v>
      </c>
      <c r="F5" s="21" t="s">
        <v>552</v>
      </c>
      <c r="G5" s="21" t="s">
        <v>553</v>
      </c>
      <c r="H5" s="22" t="s">
        <v>554</v>
      </c>
      <c r="I5" s="22" t="s">
        <v>555</v>
      </c>
      <c r="J5" s="21" t="s">
        <v>556</v>
      </c>
      <c r="K5" s="23"/>
      <c r="L5" s="24"/>
    </row>
    <row r="6" spans="1:12" ht="12.75" customHeight="1" x14ac:dyDescent="0.25">
      <c r="A6" s="25" t="s">
        <v>557</v>
      </c>
      <c r="B6" s="26"/>
      <c r="C6" s="27"/>
      <c r="D6" s="27"/>
      <c r="E6" s="27"/>
      <c r="F6" s="27"/>
      <c r="G6" s="27"/>
      <c r="H6" s="27"/>
      <c r="I6" s="27"/>
      <c r="J6" s="27"/>
      <c r="K6" s="28"/>
      <c r="L6" s="29"/>
    </row>
    <row r="7" spans="1:12" ht="12.75" customHeight="1" x14ac:dyDescent="0.25">
      <c r="A7" s="30" t="s">
        <v>558</v>
      </c>
      <c r="B7" s="75">
        <f>SUM('B4-FinPerf RE'!C7:C7)</f>
        <v>93800000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93800000</v>
      </c>
      <c r="K7" s="75">
        <f>SUM('B4-FinPerf RE'!L7:L7)</f>
        <v>98959000</v>
      </c>
      <c r="L7" s="76">
        <f>SUM('B4-FinPerf RE'!M7:M7)</f>
        <v>104401745</v>
      </c>
    </row>
    <row r="8" spans="1:12" ht="12.75" customHeight="1" x14ac:dyDescent="0.25">
      <c r="A8" s="30" t="s">
        <v>559</v>
      </c>
      <c r="B8" s="75">
        <f>SUM('B4-FinPerf RE'!C8:C11)</f>
        <v>531783000</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531783000</v>
      </c>
      <c r="K8" s="75">
        <f>SUM('B4-FinPerf RE'!L8:L11)</f>
        <v>561031065</v>
      </c>
      <c r="L8" s="76">
        <f>SUM('B4-FinPerf RE'!M8:M11)</f>
        <v>591887773.57499993</v>
      </c>
    </row>
    <row r="9" spans="1:12" ht="12.75" customHeight="1" x14ac:dyDescent="0.25">
      <c r="A9" s="30" t="s">
        <v>560</v>
      </c>
      <c r="B9" s="75">
        <f>'B4-FinPerf RE'!C14</f>
        <v>3801000</v>
      </c>
      <c r="C9" s="75">
        <f>'B4-FinPerf RE'!D14</f>
        <v>0</v>
      </c>
      <c r="D9" s="75">
        <f>'B4-FinPerf RE'!E14</f>
        <v>0</v>
      </c>
      <c r="E9" s="75">
        <f>'B4-FinPerf RE'!F14</f>
        <v>0</v>
      </c>
      <c r="F9" s="75">
        <f>'B4-FinPerf RE'!G14</f>
        <v>0</v>
      </c>
      <c r="G9" s="75">
        <f>'B4-FinPerf RE'!H14</f>
        <v>0</v>
      </c>
      <c r="H9" s="75">
        <f>'B4-FinPerf RE'!I14</f>
        <v>0</v>
      </c>
      <c r="I9" s="75">
        <f t="shared" si="0"/>
        <v>0</v>
      </c>
      <c r="J9" s="75">
        <f t="shared" si="1"/>
        <v>3801000</v>
      </c>
      <c r="K9" s="75">
        <f>'B4-FinPerf RE'!L14</f>
        <v>4010055</v>
      </c>
      <c r="L9" s="76">
        <f>'B4-FinPerf RE'!M14</f>
        <v>4230608.0250000004</v>
      </c>
    </row>
    <row r="10" spans="1:12" ht="12.75" customHeight="1" x14ac:dyDescent="0.25">
      <c r="A10" s="641" t="s">
        <v>1104</v>
      </c>
      <c r="B10" s="75">
        <f>'B4-FinPerf RE'!C20</f>
        <v>366610750</v>
      </c>
      <c r="C10" s="75">
        <f>'B4-FinPerf RE'!D20</f>
        <v>0</v>
      </c>
      <c r="D10" s="75">
        <f>'B4-FinPerf RE'!E20</f>
        <v>0</v>
      </c>
      <c r="E10" s="75">
        <f>'B4-FinPerf RE'!F20</f>
        <v>0</v>
      </c>
      <c r="F10" s="75">
        <f>'B4-FinPerf RE'!G20</f>
        <v>0</v>
      </c>
      <c r="G10" s="75">
        <f>'B4-FinPerf RE'!H20</f>
        <v>0</v>
      </c>
      <c r="H10" s="75">
        <f>'B4-FinPerf RE'!I20</f>
        <v>0</v>
      </c>
      <c r="I10" s="75">
        <f t="shared" si="0"/>
        <v>0</v>
      </c>
      <c r="J10" s="75">
        <f t="shared" si="1"/>
        <v>366610750</v>
      </c>
      <c r="K10" s="75">
        <f>'B4-FinPerf RE'!L20</f>
        <v>398276150</v>
      </c>
      <c r="L10" s="76">
        <f>'B4-FinPerf RE'!M20</f>
        <v>429446520</v>
      </c>
    </row>
    <row r="11" spans="1:12" ht="12.75" customHeight="1" x14ac:dyDescent="0.25">
      <c r="A11" s="36" t="s">
        <v>561</v>
      </c>
      <c r="B11" s="75">
        <f>'B4-FinPerf RE'!C13+'B4-FinPerf RE'!C15+'B4-FinPerf RE'!C16+'B4-FinPerf RE'!C17+'B4-FinPerf RE'!C18+'B4-FinPerf RE'!C19+'B4-FinPerf RE'!C21+'B4-FinPerf RE'!C22</f>
        <v>93093573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-500000</v>
      </c>
      <c r="I11" s="75">
        <f t="shared" si="0"/>
        <v>-500000</v>
      </c>
      <c r="J11" s="75">
        <f t="shared" si="1"/>
        <v>92593573</v>
      </c>
      <c r="K11" s="75">
        <f>'B4-FinPerf RE'!L13+'B4-FinPerf RE'!L15+'B4-FinPerf RE'!L16+'B4-FinPerf RE'!L17+'B4-FinPerf RE'!L18+'B4-FinPerf RE'!L19+'B4-FinPerf RE'!L21+'B4-FinPerf RE'!L22</f>
        <v>98213719.515000001</v>
      </c>
      <c r="L11" s="76">
        <f>'B4-FinPerf RE'!M13+'B4-FinPerf RE'!M15+'B4-FinPerf RE'!M16+'B4-FinPerf RE'!M17+'B4-FinPerf RE'!M18+'B4-FinPerf RE'!M19+'B4-FinPerf RE'!M21+'B4-FinPerf RE'!M22</f>
        <v>103615474.58832499</v>
      </c>
    </row>
    <row r="12" spans="1:12" ht="23.25" customHeight="1" x14ac:dyDescent="0.25">
      <c r="A12" s="642" t="s">
        <v>562</v>
      </c>
      <c r="B12" s="687">
        <f t="shared" ref="B12:L12" si="2">SUM(B7:B11)</f>
        <v>1089088323</v>
      </c>
      <c r="C12" s="645">
        <f t="shared" si="2"/>
        <v>0</v>
      </c>
      <c r="D12" s="645">
        <f t="shared" si="2"/>
        <v>0</v>
      </c>
      <c r="E12" s="645">
        <f t="shared" si="2"/>
        <v>0</v>
      </c>
      <c r="F12" s="645">
        <f t="shared" si="2"/>
        <v>0</v>
      </c>
      <c r="G12" s="645">
        <f t="shared" si="2"/>
        <v>0</v>
      </c>
      <c r="H12" s="645">
        <f t="shared" si="2"/>
        <v>-500000</v>
      </c>
      <c r="I12" s="645">
        <f t="shared" si="0"/>
        <v>-500000</v>
      </c>
      <c r="J12" s="645">
        <f t="shared" si="1"/>
        <v>1088588323</v>
      </c>
      <c r="K12" s="645">
        <f t="shared" si="2"/>
        <v>1160489989.5150001</v>
      </c>
      <c r="L12" s="646">
        <f t="shared" si="2"/>
        <v>1233582121.1883249</v>
      </c>
    </row>
    <row r="13" spans="1:12" ht="12.75" customHeight="1" x14ac:dyDescent="0.25">
      <c r="A13" s="36" t="s">
        <v>563</v>
      </c>
      <c r="B13" s="75">
        <f>'B4-FinPerf RE'!C26</f>
        <v>343017085</v>
      </c>
      <c r="C13" s="75">
        <f>'B4-FinPerf RE'!D26</f>
        <v>0</v>
      </c>
      <c r="D13" s="75">
        <f>'B4-FinPerf RE'!E26</f>
        <v>0</v>
      </c>
      <c r="E13" s="75">
        <f>'B4-FinPerf RE'!F26</f>
        <v>0</v>
      </c>
      <c r="F13" s="75">
        <f>'B4-FinPerf RE'!G26</f>
        <v>0</v>
      </c>
      <c r="G13" s="75">
        <f>'B4-FinPerf RE'!H26</f>
        <v>0</v>
      </c>
      <c r="H13" s="75">
        <f>'B4-FinPerf RE'!I26</f>
        <v>-6058994</v>
      </c>
      <c r="I13" s="75">
        <f t="shared" ref="I13:I19" si="3">SUM(D13:H13)</f>
        <v>-6058994</v>
      </c>
      <c r="J13" s="75">
        <f t="shared" ref="J13:J19" si="4">IF(C13=0,B13+I13,C13+I13)</f>
        <v>336958091</v>
      </c>
      <c r="K13" s="75">
        <f>'B4-FinPerf RE'!L26</f>
        <v>355490785.67500007</v>
      </c>
      <c r="L13" s="76">
        <f>'B4-FinPerf RE'!M26</f>
        <v>375042780.03212506</v>
      </c>
    </row>
    <row r="14" spans="1:12" ht="12.75" customHeight="1" x14ac:dyDescent="0.25">
      <c r="A14" s="36" t="s">
        <v>564</v>
      </c>
      <c r="B14" s="75">
        <f>'B4-FinPerf RE'!C27</f>
        <v>27425152</v>
      </c>
      <c r="C14" s="75">
        <f>'B4-FinPerf RE'!D27</f>
        <v>0</v>
      </c>
      <c r="D14" s="75">
        <f>'B4-FinPerf RE'!E27</f>
        <v>0</v>
      </c>
      <c r="E14" s="75">
        <f>'B4-FinPerf RE'!F27</f>
        <v>0</v>
      </c>
      <c r="F14" s="75">
        <f>'B4-FinPerf RE'!G27</f>
        <v>0</v>
      </c>
      <c r="G14" s="75">
        <f>'B4-FinPerf RE'!H27</f>
        <v>0</v>
      </c>
      <c r="H14" s="75">
        <f>'B4-FinPerf RE'!I27</f>
        <v>-35419</v>
      </c>
      <c r="I14" s="75">
        <f t="shared" si="3"/>
        <v>-35419</v>
      </c>
      <c r="J14" s="75">
        <f t="shared" si="4"/>
        <v>27389733</v>
      </c>
      <c r="K14" s="75">
        <f>'B4-FinPerf RE'!L27</f>
        <v>28896168.359999999</v>
      </c>
      <c r="L14" s="76">
        <f>'B4-FinPerf RE'!M27</f>
        <v>30485457.8048</v>
      </c>
    </row>
    <row r="15" spans="1:12" ht="12.75" customHeight="1" x14ac:dyDescent="0.25">
      <c r="A15" s="36" t="s">
        <v>565</v>
      </c>
      <c r="B15" s="75">
        <f>'B4-FinPerf RE'!C29</f>
        <v>133475495.84</v>
      </c>
      <c r="C15" s="75">
        <f>'B4-FinPerf RE'!D29</f>
        <v>0</v>
      </c>
      <c r="D15" s="75">
        <f>'B4-FinPerf RE'!E29</f>
        <v>0</v>
      </c>
      <c r="E15" s="75">
        <f>'B4-FinPerf RE'!F29</f>
        <v>0</v>
      </c>
      <c r="F15" s="75">
        <f>'B4-FinPerf RE'!G29</f>
        <v>0</v>
      </c>
      <c r="G15" s="75">
        <f>'B4-FinPerf RE'!H29</f>
        <v>0</v>
      </c>
      <c r="H15" s="75">
        <f>'B4-FinPerf RE'!I29</f>
        <v>0</v>
      </c>
      <c r="I15" s="75">
        <f t="shared" si="3"/>
        <v>0</v>
      </c>
      <c r="J15" s="75">
        <f t="shared" si="4"/>
        <v>133475495.84</v>
      </c>
      <c r="K15" s="75">
        <f>'B4-FinPerf RE'!L29</f>
        <v>135403832</v>
      </c>
      <c r="L15" s="76">
        <f>'B4-FinPerf RE'!M29</f>
        <v>138917142</v>
      </c>
    </row>
    <row r="16" spans="1:12" ht="12.75" customHeight="1" x14ac:dyDescent="0.25">
      <c r="A16" s="36" t="s">
        <v>566</v>
      </c>
      <c r="B16" s="75">
        <f>'B4-FinPerf RE'!C30</f>
        <v>26448557</v>
      </c>
      <c r="C16" s="75">
        <f>'B4-FinPerf RE'!D30</f>
        <v>0</v>
      </c>
      <c r="D16" s="75">
        <f>'B4-FinPerf RE'!E30</f>
        <v>0</v>
      </c>
      <c r="E16" s="75">
        <f>'B4-FinPerf RE'!F30</f>
        <v>0</v>
      </c>
      <c r="F16" s="75">
        <f>'B4-FinPerf RE'!G30</f>
        <v>0</v>
      </c>
      <c r="G16" s="75">
        <f>'B4-FinPerf RE'!H30</f>
        <v>0</v>
      </c>
      <c r="H16" s="75">
        <f>'B4-FinPerf RE'!I30</f>
        <v>0</v>
      </c>
      <c r="I16" s="75">
        <f t="shared" si="3"/>
        <v>0</v>
      </c>
      <c r="J16" s="75">
        <f t="shared" si="4"/>
        <v>26448557</v>
      </c>
      <c r="K16" s="75">
        <f>'B4-FinPerf RE'!L30</f>
        <v>27903227.635000002</v>
      </c>
      <c r="L16" s="76">
        <f>'B4-FinPerf RE'!M30</f>
        <v>29437905.154925004</v>
      </c>
    </row>
    <row r="17" spans="1:13" ht="12.75" customHeight="1" x14ac:dyDescent="0.25">
      <c r="A17" s="36" t="s">
        <v>567</v>
      </c>
      <c r="B17" s="75">
        <f>SUM('B4-FinPerf RE'!C31:C32)</f>
        <v>391180124.62</v>
      </c>
      <c r="C17" s="75">
        <f>SUM('B4-FinPerf RE'!D31:D32)</f>
        <v>0</v>
      </c>
      <c r="D17" s="75">
        <f>SUM('B4-FinPerf RE'!E31:E32)</f>
        <v>0</v>
      </c>
      <c r="E17" s="75">
        <f>SUM('B4-FinPerf RE'!F31:F32)</f>
        <v>0</v>
      </c>
      <c r="F17" s="75">
        <f>SUM('B4-FinPerf RE'!G31:G32)</f>
        <v>0</v>
      </c>
      <c r="G17" s="75">
        <f>SUM('B4-FinPerf RE'!H31:H32)</f>
        <v>0</v>
      </c>
      <c r="H17" s="75">
        <f>SUM('B4-FinPerf RE'!I31:I32)</f>
        <v>22935013.719999999</v>
      </c>
      <c r="I17" s="75">
        <f t="shared" si="3"/>
        <v>22935013.719999999</v>
      </c>
      <c r="J17" s="75">
        <f t="shared" si="4"/>
        <v>414115138.34000003</v>
      </c>
      <c r="K17" s="75">
        <f>SUM('B4-FinPerf RE'!L31:L32)</f>
        <v>432650687.47409999</v>
      </c>
      <c r="L17" s="76">
        <f>SUM('B4-FinPerf RE'!M31:M32)</f>
        <v>456446476.20517552</v>
      </c>
      <c r="M17" s="128"/>
    </row>
    <row r="18" spans="1:13" ht="12.75" customHeight="1" x14ac:dyDescent="0.25">
      <c r="A18" s="36" t="s">
        <v>658</v>
      </c>
      <c r="B18" s="75">
        <f>'B4-FinPerf RE'!C34</f>
        <v>30804673</v>
      </c>
      <c r="C18" s="75">
        <f>'B4-FinPerf RE'!D34</f>
        <v>0</v>
      </c>
      <c r="D18" s="75">
        <f>'B4-FinPerf RE'!E34</f>
        <v>0</v>
      </c>
      <c r="E18" s="75">
        <f>'B4-FinPerf RE'!F34</f>
        <v>0</v>
      </c>
      <c r="F18" s="75">
        <f>'B4-FinPerf RE'!G34</f>
        <v>0</v>
      </c>
      <c r="G18" s="75">
        <f>'B4-FinPerf RE'!H34</f>
        <v>0</v>
      </c>
      <c r="H18" s="75">
        <f>'B4-FinPerf RE'!I34</f>
        <v>0</v>
      </c>
      <c r="I18" s="75">
        <f t="shared" si="3"/>
        <v>0</v>
      </c>
      <c r="J18" s="75">
        <f t="shared" si="4"/>
        <v>30804673</v>
      </c>
      <c r="K18" s="75">
        <f>'B4-FinPerf RE'!L34</f>
        <v>25695545.015000001</v>
      </c>
      <c r="L18" s="76">
        <f>'B4-FinPerf RE'!M34</f>
        <v>22613584.990825001</v>
      </c>
      <c r="M18" s="128"/>
    </row>
    <row r="19" spans="1:13" ht="12.75" customHeight="1" x14ac:dyDescent="0.25">
      <c r="A19" s="36" t="s">
        <v>569</v>
      </c>
      <c r="B19" s="75">
        <f>'B4-FinPerf RE'!C37-SUM('B1-Sum'!B13:B18)</f>
        <v>210120033.61999989</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4827894.2800000012</v>
      </c>
      <c r="I19" s="75">
        <f t="shared" si="3"/>
        <v>4827894.2800000012</v>
      </c>
      <c r="J19" s="75">
        <f t="shared" si="4"/>
        <v>214947927.89999989</v>
      </c>
      <c r="K19" s="75">
        <f>'B4-FinPerf RE'!L37-SUM('B1-Sum'!K13:K18)</f>
        <v>214093820.3045001</v>
      </c>
      <c r="L19" s="76">
        <f>'B4-FinPerf RE'!M37-SUM('B1-Sum'!L13:L18)</f>
        <v>225879104.36124742</v>
      </c>
      <c r="M19" s="128"/>
    </row>
    <row r="20" spans="1:13" ht="12.75" customHeight="1" x14ac:dyDescent="0.25">
      <c r="A20" s="37" t="s">
        <v>570</v>
      </c>
      <c r="B20" s="687">
        <f t="shared" ref="B20:L20" si="5">SUM(B13:B19)</f>
        <v>1162471121.0799999</v>
      </c>
      <c r="C20" s="645">
        <f t="shared" si="5"/>
        <v>0</v>
      </c>
      <c r="D20" s="645">
        <f t="shared" si="5"/>
        <v>0</v>
      </c>
      <c r="E20" s="645">
        <f t="shared" si="5"/>
        <v>0</v>
      </c>
      <c r="F20" s="645">
        <f t="shared" si="5"/>
        <v>0</v>
      </c>
      <c r="G20" s="645">
        <f t="shared" si="5"/>
        <v>0</v>
      </c>
      <c r="H20" s="645">
        <f t="shared" si="5"/>
        <v>21668495</v>
      </c>
      <c r="I20" s="645">
        <f t="shared" si="5"/>
        <v>21668495</v>
      </c>
      <c r="J20" s="645">
        <f t="shared" si="5"/>
        <v>1184139616.0799999</v>
      </c>
      <c r="K20" s="645">
        <f t="shared" si="5"/>
        <v>1220134066.4636002</v>
      </c>
      <c r="L20" s="646">
        <f t="shared" si="5"/>
        <v>1278822450.549098</v>
      </c>
      <c r="M20" s="128"/>
    </row>
    <row r="21" spans="1:13" ht="12.75" customHeight="1" x14ac:dyDescent="0.25">
      <c r="A21" s="38" t="s">
        <v>571</v>
      </c>
      <c r="B21" s="75">
        <f t="shared" ref="B21:L21" si="6">B12-B20</f>
        <v>-73382798.079999924</v>
      </c>
      <c r="C21" s="75">
        <f t="shared" si="6"/>
        <v>0</v>
      </c>
      <c r="D21" s="75">
        <f t="shared" si="6"/>
        <v>0</v>
      </c>
      <c r="E21" s="75">
        <f t="shared" si="6"/>
        <v>0</v>
      </c>
      <c r="F21" s="75">
        <f t="shared" si="6"/>
        <v>0</v>
      </c>
      <c r="G21" s="75">
        <f t="shared" si="6"/>
        <v>0</v>
      </c>
      <c r="H21" s="75">
        <f t="shared" si="6"/>
        <v>-22168495</v>
      </c>
      <c r="I21" s="75">
        <f t="shared" si="6"/>
        <v>-22168495</v>
      </c>
      <c r="J21" s="75">
        <f t="shared" si="6"/>
        <v>-95551293.079999924</v>
      </c>
      <c r="K21" s="75">
        <f t="shared" si="6"/>
        <v>-59644076.948600054</v>
      </c>
      <c r="L21" s="76">
        <f t="shared" si="6"/>
        <v>-45240329.360773087</v>
      </c>
      <c r="M21" s="128"/>
    </row>
    <row r="22" spans="1:13" ht="12.75" customHeight="1" x14ac:dyDescent="0.25">
      <c r="A22" s="641" t="s">
        <v>572</v>
      </c>
      <c r="B22" s="75">
        <f>'B4-FinPerf RE'!C40</f>
        <v>87699250</v>
      </c>
      <c r="C22" s="75">
        <f>'B4-FinPerf RE'!D40</f>
        <v>0</v>
      </c>
      <c r="D22" s="75">
        <f>'B4-FinPerf RE'!E40</f>
        <v>0</v>
      </c>
      <c r="E22" s="75">
        <f>'B4-FinPerf RE'!F40</f>
        <v>0</v>
      </c>
      <c r="F22" s="75">
        <f>'B4-FinPerf RE'!G40</f>
        <v>0</v>
      </c>
      <c r="G22" s="75">
        <f>'B4-FinPerf RE'!H40</f>
        <v>0</v>
      </c>
      <c r="H22" s="75">
        <f>'B4-FinPerf RE'!I40</f>
        <v>0</v>
      </c>
      <c r="I22" s="75">
        <f>SUM(D22:H22)</f>
        <v>0</v>
      </c>
      <c r="J22" s="75">
        <f>IF(C22=0,B22+I22,C22+I22)</f>
        <v>87699250</v>
      </c>
      <c r="K22" s="75">
        <f>'B4-FinPerf RE'!L40</f>
        <v>89549850</v>
      </c>
      <c r="L22" s="76">
        <f>'B4-FinPerf RE'!M40</f>
        <v>94667480</v>
      </c>
      <c r="M22" s="128"/>
    </row>
    <row r="23" spans="1:13" ht="12.75" customHeight="1" x14ac:dyDescent="0.25">
      <c r="A23" s="641"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573</v>
      </c>
      <c r="B24" s="687">
        <f t="shared" ref="B24:L24" si="7">B21+SUM(B22:B23)</f>
        <v>14316451.920000076</v>
      </c>
      <c r="C24" s="645">
        <f t="shared" si="7"/>
        <v>0</v>
      </c>
      <c r="D24" s="645">
        <f t="shared" si="7"/>
        <v>0</v>
      </c>
      <c r="E24" s="645">
        <f t="shared" si="7"/>
        <v>0</v>
      </c>
      <c r="F24" s="645">
        <f t="shared" si="7"/>
        <v>0</v>
      </c>
      <c r="G24" s="645">
        <f t="shared" si="7"/>
        <v>0</v>
      </c>
      <c r="H24" s="645">
        <f t="shared" si="7"/>
        <v>-22168495</v>
      </c>
      <c r="I24" s="645">
        <f>SUM(D24:H24)</f>
        <v>-22168495</v>
      </c>
      <c r="J24" s="645">
        <f>IF(C24=0,B24+I24,C24+I24)</f>
        <v>-7852043.0799999237</v>
      </c>
      <c r="K24" s="645">
        <f t="shared" si="7"/>
        <v>29905773.051399946</v>
      </c>
      <c r="L24" s="646">
        <f t="shared" si="7"/>
        <v>49427150.639226913</v>
      </c>
      <c r="M24" s="128"/>
    </row>
    <row r="25" spans="1:13" ht="12.75" customHeight="1" x14ac:dyDescent="0.25">
      <c r="A25" s="41" t="s">
        <v>574</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575</v>
      </c>
      <c r="B26" s="1093">
        <f t="shared" ref="B26:L26" si="8">B24+B25</f>
        <v>14316451.920000076</v>
      </c>
      <c r="C26" s="1094">
        <f t="shared" si="8"/>
        <v>0</v>
      </c>
      <c r="D26" s="1094">
        <f t="shared" si="8"/>
        <v>0</v>
      </c>
      <c r="E26" s="1094">
        <f t="shared" si="8"/>
        <v>0</v>
      </c>
      <c r="F26" s="1094">
        <f t="shared" si="8"/>
        <v>0</v>
      </c>
      <c r="G26" s="1094">
        <f t="shared" si="8"/>
        <v>0</v>
      </c>
      <c r="H26" s="1094">
        <f t="shared" si="8"/>
        <v>-22168495</v>
      </c>
      <c r="I26" s="1094">
        <f t="shared" si="8"/>
        <v>-22168495</v>
      </c>
      <c r="J26" s="1094">
        <f t="shared" si="8"/>
        <v>-7852043.0799999237</v>
      </c>
      <c r="K26" s="1094">
        <f t="shared" si="8"/>
        <v>29905773.051399946</v>
      </c>
      <c r="L26" s="1095">
        <f t="shared" si="8"/>
        <v>49427150.639226913</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576</v>
      </c>
      <c r="B28" s="47"/>
      <c r="C28" s="27"/>
      <c r="D28" s="27"/>
      <c r="E28" s="27"/>
      <c r="F28" s="27"/>
      <c r="G28" s="27"/>
      <c r="H28" s="27"/>
      <c r="I28" s="27"/>
      <c r="J28" s="27"/>
      <c r="K28" s="28"/>
      <c r="L28" s="29"/>
      <c r="M28" s="128"/>
    </row>
    <row r="29" spans="1:13" ht="12.75" customHeight="1" x14ac:dyDescent="0.25">
      <c r="A29" s="51" t="s">
        <v>577</v>
      </c>
      <c r="B29" s="75">
        <f>'B5-Capex'!C42</f>
        <v>195199250</v>
      </c>
      <c r="C29" s="75">
        <f>'B5-Capex'!D42</f>
        <v>0</v>
      </c>
      <c r="D29" s="75">
        <f>'B5-Capex'!E42</f>
        <v>0</v>
      </c>
      <c r="E29" s="75">
        <f>'B5-Capex'!F42</f>
        <v>0</v>
      </c>
      <c r="F29" s="75">
        <f>'B5-Capex'!G42</f>
        <v>0</v>
      </c>
      <c r="G29" s="75">
        <f>'B5-Capex'!H42</f>
        <v>0</v>
      </c>
      <c r="H29" s="75">
        <f>'B5-Capex'!I42</f>
        <v>-41481232</v>
      </c>
      <c r="I29" s="75">
        <f>SUM(D29:H29)</f>
        <v>-41481232</v>
      </c>
      <c r="J29" s="75">
        <f>IF(C29=0,B29+I29,C29+I29)</f>
        <v>153718018</v>
      </c>
      <c r="K29" s="75">
        <f>'B5-Capex'!L42</f>
        <v>124549850</v>
      </c>
      <c r="L29" s="76">
        <f>'B5-Capex'!M42</f>
        <v>139667500</v>
      </c>
      <c r="M29" s="128"/>
    </row>
    <row r="30" spans="1:13" ht="12.75" customHeight="1" x14ac:dyDescent="0.25">
      <c r="A30" s="30" t="s">
        <v>572</v>
      </c>
      <c r="B30" s="75">
        <f>'B5-Capex'!C72</f>
        <v>87699250</v>
      </c>
      <c r="C30" s="75">
        <f>'B5-Capex'!D72</f>
        <v>0</v>
      </c>
      <c r="D30" s="75">
        <f>'B5-Capex'!E72</f>
        <v>0</v>
      </c>
      <c r="E30" s="75">
        <f>'B5-Capex'!F72</f>
        <v>0</v>
      </c>
      <c r="F30" s="75">
        <f>'B5-Capex'!G72</f>
        <v>0</v>
      </c>
      <c r="G30" s="75">
        <f>'B5-Capex'!H72</f>
        <v>0</v>
      </c>
      <c r="H30" s="75">
        <f>'B5-Capex'!I72</f>
        <v>230000</v>
      </c>
      <c r="I30" s="75">
        <f>SUM(D30:H30)</f>
        <v>230000</v>
      </c>
      <c r="J30" s="75">
        <f>IF(C30=0,B30+I30,C30+I30)</f>
        <v>87929250</v>
      </c>
      <c r="K30" s="75">
        <f>'B5-Capex'!L72</f>
        <v>89549850</v>
      </c>
      <c r="L30" s="76">
        <f>'B5-Capex'!M72</f>
        <v>94667500</v>
      </c>
      <c r="M30" s="128"/>
    </row>
    <row r="31" spans="1:13" ht="1.1499999999999999" customHeight="1" x14ac:dyDescent="0.25">
      <c r="A31" s="760"/>
      <c r="B31" s="138"/>
      <c r="C31" s="138"/>
      <c r="D31" s="138"/>
      <c r="E31" s="138"/>
      <c r="F31" s="138"/>
      <c r="G31" s="138"/>
      <c r="H31" s="138"/>
      <c r="I31" s="138"/>
      <c r="J31" s="138"/>
      <c r="K31" s="138"/>
      <c r="L31" s="205"/>
      <c r="M31" s="128"/>
    </row>
    <row r="32" spans="1:13" ht="12.75" customHeight="1" x14ac:dyDescent="0.25">
      <c r="A32" s="30" t="s">
        <v>578</v>
      </c>
      <c r="B32" s="75">
        <f>'B5-Capex'!C74</f>
        <v>90000000</v>
      </c>
      <c r="C32" s="75">
        <f>'B5-Capex'!D74</f>
        <v>0</v>
      </c>
      <c r="D32" s="75">
        <f>'B5-Capex'!E74</f>
        <v>0</v>
      </c>
      <c r="E32" s="75">
        <f>'B5-Capex'!F74</f>
        <v>0</v>
      </c>
      <c r="F32" s="75">
        <f>'B5-Capex'!G74</f>
        <v>0</v>
      </c>
      <c r="G32" s="75">
        <f>'B5-Capex'!H74</f>
        <v>0</v>
      </c>
      <c r="H32" s="75">
        <f>'B5-Capex'!I74</f>
        <v>-50000000</v>
      </c>
      <c r="I32" s="75">
        <f>SUM(D32:H32)</f>
        <v>-50000000</v>
      </c>
      <c r="J32" s="75">
        <f>IF(C32=0,B32+I32,C32+I32)</f>
        <v>40000000</v>
      </c>
      <c r="K32" s="75">
        <f>'B5-Capex'!L74</f>
        <v>20000000</v>
      </c>
      <c r="L32" s="76">
        <f>'B5-Capex'!M74</f>
        <v>30000000</v>
      </c>
      <c r="M32" s="128"/>
    </row>
    <row r="33" spans="1:13" ht="12.75" customHeight="1" x14ac:dyDescent="0.25">
      <c r="A33" s="30" t="s">
        <v>579</v>
      </c>
      <c r="B33" s="75">
        <f>'B5-Capex'!C75</f>
        <v>17500000</v>
      </c>
      <c r="C33" s="75">
        <f>'B5-Capex'!D75</f>
        <v>0</v>
      </c>
      <c r="D33" s="75">
        <f>'B5-Capex'!E75</f>
        <v>0</v>
      </c>
      <c r="E33" s="75">
        <f>'B5-Capex'!F75</f>
        <v>0</v>
      </c>
      <c r="F33" s="75">
        <f>'B5-Capex'!G75</f>
        <v>0</v>
      </c>
      <c r="G33" s="75">
        <f>'B5-Capex'!H75</f>
        <v>0</v>
      </c>
      <c r="H33" s="75">
        <f>'B5-Capex'!I75</f>
        <v>8288768</v>
      </c>
      <c r="I33" s="75">
        <f>SUM(D33:H33)</f>
        <v>8288768</v>
      </c>
      <c r="J33" s="75">
        <f>IF(C33=0,B33+I33,C33+I33)</f>
        <v>25788768</v>
      </c>
      <c r="K33" s="75">
        <f>'B5-Capex'!L75</f>
        <v>15000000</v>
      </c>
      <c r="L33" s="76">
        <f>'B5-Capex'!M75</f>
        <v>15000000</v>
      </c>
      <c r="M33" s="128"/>
    </row>
    <row r="34" spans="1:13" s="48" customFormat="1" ht="12.75" customHeight="1" x14ac:dyDescent="0.25">
      <c r="A34" s="51" t="s">
        <v>580</v>
      </c>
      <c r="B34" s="141">
        <f>+B30+B32+B33</f>
        <v>195199250</v>
      </c>
      <c r="C34" s="141">
        <f t="shared" ref="C34:L34" si="9">+C30+C32+C33</f>
        <v>0</v>
      </c>
      <c r="D34" s="141">
        <f t="shared" si="9"/>
        <v>0</v>
      </c>
      <c r="E34" s="141">
        <f t="shared" si="9"/>
        <v>0</v>
      </c>
      <c r="F34" s="141">
        <f t="shared" si="9"/>
        <v>0</v>
      </c>
      <c r="G34" s="141">
        <f t="shared" si="9"/>
        <v>0</v>
      </c>
      <c r="H34" s="141">
        <f t="shared" si="9"/>
        <v>-41481232</v>
      </c>
      <c r="I34" s="141">
        <f>SUM(D34:H34)</f>
        <v>-41481232</v>
      </c>
      <c r="J34" s="141">
        <f>IF(C34=0,B34+I34,C34+I34)</f>
        <v>153718018</v>
      </c>
      <c r="K34" s="141">
        <f t="shared" si="9"/>
        <v>124549850</v>
      </c>
      <c r="L34" s="142">
        <f t="shared" si="9"/>
        <v>139667500</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581</v>
      </c>
      <c r="B36" s="47"/>
      <c r="C36" s="27"/>
      <c r="D36" s="27"/>
      <c r="E36" s="27"/>
      <c r="F36" s="27"/>
      <c r="G36" s="27"/>
      <c r="H36" s="27"/>
      <c r="I36" s="27"/>
      <c r="J36" s="27"/>
      <c r="K36" s="28"/>
      <c r="L36" s="29"/>
      <c r="M36" s="128"/>
    </row>
    <row r="37" spans="1:13" ht="12.75" customHeight="1" x14ac:dyDescent="0.25">
      <c r="A37" s="30" t="s">
        <v>582</v>
      </c>
      <c r="B37" s="75">
        <f>'B6-FinPos'!C14</f>
        <v>365544801.7439</v>
      </c>
      <c r="C37" s="75">
        <f>'B6-FinPos'!D14</f>
        <v>0</v>
      </c>
      <c r="D37" s="75">
        <f>'B6-FinPos'!E14</f>
        <v>0</v>
      </c>
      <c r="E37" s="75">
        <f>'B6-FinPos'!F14</f>
        <v>0</v>
      </c>
      <c r="F37" s="75">
        <f>'B6-FinPos'!G14</f>
        <v>0</v>
      </c>
      <c r="G37" s="75">
        <f>'B6-FinPos'!H14</f>
        <v>0</v>
      </c>
      <c r="H37" s="75">
        <f>'B6-FinPos'!I14</f>
        <v>-4786921</v>
      </c>
      <c r="I37" s="75">
        <f>SUM(D37:H37)</f>
        <v>-4786921</v>
      </c>
      <c r="J37" s="75">
        <f>IF(C37=0,B37+I37,C37+I37)</f>
        <v>360757880.7439</v>
      </c>
      <c r="K37" s="75">
        <f>'B6-FinPos'!L14</f>
        <v>366022096.72679961</v>
      </c>
      <c r="L37" s="76">
        <f>'B6-FinPos'!M14</f>
        <v>380284415.42114747</v>
      </c>
      <c r="M37" s="128"/>
    </row>
    <row r="38" spans="1:13" ht="12.75" customHeight="1" x14ac:dyDescent="0.25">
      <c r="A38" s="30" t="s">
        <v>583</v>
      </c>
      <c r="B38" s="75">
        <f>'B6-FinPos'!C26</f>
        <v>2018119769.2602999</v>
      </c>
      <c r="C38" s="75">
        <f>'B6-FinPos'!D26</f>
        <v>0</v>
      </c>
      <c r="D38" s="75">
        <f>'B6-FinPos'!E26</f>
        <v>0</v>
      </c>
      <c r="E38" s="75">
        <f>'B6-FinPos'!F26</f>
        <v>0</v>
      </c>
      <c r="F38" s="75">
        <f>'B6-FinPos'!G26</f>
        <v>0</v>
      </c>
      <c r="G38" s="75">
        <f>'B6-FinPos'!H26</f>
        <v>0</v>
      </c>
      <c r="H38" s="75">
        <f>'B6-FinPos'!I26</f>
        <v>-50000000</v>
      </c>
      <c r="I38" s="75">
        <f>SUM(D38:H38)</f>
        <v>-50000000</v>
      </c>
      <c r="J38" s="75">
        <f>IF(C38=0,B38+I38,C38+I38)</f>
        <v>1968119769.2602999</v>
      </c>
      <c r="K38" s="75">
        <f>'B6-FinPos'!L26</f>
        <v>2070197886.4878969</v>
      </c>
      <c r="L38" s="76">
        <f>'B6-FinPos'!M26</f>
        <v>2122916126.1075876</v>
      </c>
      <c r="M38" s="128"/>
    </row>
    <row r="39" spans="1:13" ht="12.75" customHeight="1" x14ac:dyDescent="0.25">
      <c r="A39" s="30" t="s">
        <v>584</v>
      </c>
      <c r="B39" s="75">
        <f>'B6-FinPos'!C36</f>
        <v>250470650.85787502</v>
      </c>
      <c r="C39" s="75">
        <f>'B6-FinPos'!D36</f>
        <v>0</v>
      </c>
      <c r="D39" s="75">
        <f>'B6-FinPos'!E36</f>
        <v>0</v>
      </c>
      <c r="E39" s="75">
        <f>'B6-FinPos'!F36</f>
        <v>0</v>
      </c>
      <c r="F39" s="75">
        <f>'B6-FinPos'!G36</f>
        <v>0</v>
      </c>
      <c r="G39" s="75">
        <f>'B6-FinPos'!H36</f>
        <v>0</v>
      </c>
      <c r="H39" s="75">
        <f>'B6-FinPos'!I36</f>
        <v>0</v>
      </c>
      <c r="I39" s="75">
        <f>SUM(D39:H39)</f>
        <v>0</v>
      </c>
      <c r="J39" s="75">
        <f>IF(C39=0,B39+I39,C39+I39)</f>
        <v>250470650.85787502</v>
      </c>
      <c r="K39" s="75">
        <f>'B6-FinPos'!L36</f>
        <v>252190045.60929713</v>
      </c>
      <c r="L39" s="76">
        <f>'B6-FinPos'!M36</f>
        <v>256363889.53279102</v>
      </c>
      <c r="M39" s="128"/>
    </row>
    <row r="40" spans="1:13" ht="12.75" customHeight="1" x14ac:dyDescent="0.25">
      <c r="A40" s="30" t="s">
        <v>585</v>
      </c>
      <c r="B40" s="75">
        <f>'B6-FinPos'!C41</f>
        <v>272970331.81032503</v>
      </c>
      <c r="C40" s="75">
        <f>'B6-FinPos'!D41</f>
        <v>0</v>
      </c>
      <c r="D40" s="75">
        <f>'B6-FinPos'!E41</f>
        <v>0</v>
      </c>
      <c r="E40" s="75">
        <f>'B6-FinPos'!F41</f>
        <v>0</v>
      </c>
      <c r="F40" s="75">
        <f>'B6-FinPos'!G41</f>
        <v>0</v>
      </c>
      <c r="G40" s="75">
        <f>'B6-FinPos'!H41</f>
        <v>0</v>
      </c>
      <c r="H40" s="75">
        <f>'B6-FinPos'!I41</f>
        <v>-50000000</v>
      </c>
      <c r="I40" s="75">
        <f>SUM(D40:H40)</f>
        <v>-50000000</v>
      </c>
      <c r="J40" s="75">
        <f>IF(C40=0,B40+I40,C40+I40)</f>
        <v>222970331.81032503</v>
      </c>
      <c r="K40" s="75">
        <f>'B6-FinPos'!L41</f>
        <v>289416220.18217385</v>
      </c>
      <c r="L40" s="76">
        <f>'B6-FinPos'!M41</f>
        <v>299735708.48058003</v>
      </c>
      <c r="M40" s="128"/>
    </row>
    <row r="41" spans="1:13" ht="12.75" customHeight="1" x14ac:dyDescent="0.25">
      <c r="A41" s="51" t="s">
        <v>1147</v>
      </c>
      <c r="B41" s="141">
        <f>'B6-FinPos'!C50</f>
        <v>1860223588.71</v>
      </c>
      <c r="C41" s="141">
        <f>'B6-FinPos'!D50</f>
        <v>0</v>
      </c>
      <c r="D41" s="141">
        <f>'B6-FinPos'!E50</f>
        <v>0</v>
      </c>
      <c r="E41" s="141">
        <f>'B6-FinPos'!F50</f>
        <v>0</v>
      </c>
      <c r="F41" s="141">
        <f>'B6-FinPos'!G50</f>
        <v>0</v>
      </c>
      <c r="G41" s="141">
        <f>'B6-FinPos'!H50</f>
        <v>0</v>
      </c>
      <c r="H41" s="141">
        <f>'B6-FinPos'!I50</f>
        <v>-4786921</v>
      </c>
      <c r="I41" s="141">
        <f>SUM(D41:H41)</f>
        <v>-4786921</v>
      </c>
      <c r="J41" s="141">
        <f>IF(C41=0,B41+I41,C41+I41)</f>
        <v>1855436667.71</v>
      </c>
      <c r="K41" s="141">
        <f>'B6-FinPos'!L50</f>
        <v>1894613717</v>
      </c>
      <c r="L41" s="142">
        <f>'B6-FinPos'!M50</f>
        <v>1947100944</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586</v>
      </c>
      <c r="B43" s="47"/>
      <c r="C43" s="27"/>
      <c r="D43" s="27"/>
      <c r="E43" s="27"/>
      <c r="F43" s="27"/>
      <c r="G43" s="27"/>
      <c r="H43" s="27"/>
      <c r="I43" s="27"/>
      <c r="J43" s="27"/>
      <c r="K43" s="28"/>
      <c r="L43" s="29"/>
      <c r="M43" s="128"/>
    </row>
    <row r="44" spans="1:13" ht="12.75" customHeight="1" x14ac:dyDescent="0.25">
      <c r="A44" s="30" t="s">
        <v>587</v>
      </c>
      <c r="B44" s="75">
        <f>'B7-CFlow'!C19</f>
        <v>116842947.75999999</v>
      </c>
      <c r="C44" s="75">
        <f>'B7-CFlow'!D19</f>
        <v>0</v>
      </c>
      <c r="D44" s="75">
        <f>'B7-CFlow'!E19</f>
        <v>0</v>
      </c>
      <c r="E44" s="75">
        <f>'B7-CFlow'!F19</f>
        <v>0</v>
      </c>
      <c r="F44" s="75">
        <f>'B7-CFlow'!G19</f>
        <v>0</v>
      </c>
      <c r="G44" s="75">
        <f>'B7-CFlow'!H19</f>
        <v>0</v>
      </c>
      <c r="H44" s="75">
        <f>'B7-CFlow'!I19</f>
        <v>-500000</v>
      </c>
      <c r="I44" s="75">
        <f>SUM(D44:H44)</f>
        <v>-500000</v>
      </c>
      <c r="J44" s="75">
        <f>IF(C44=0,B44+I44,C44+I44)</f>
        <v>116342947.75999999</v>
      </c>
      <c r="K44" s="75">
        <f>'B7-CFlow'!L19</f>
        <v>118490805.88679957</v>
      </c>
      <c r="L44" s="76">
        <f>'B7-CFlow'!M19</f>
        <v>136769849.21057439</v>
      </c>
      <c r="M44" s="128"/>
    </row>
    <row r="45" spans="1:13" ht="12.75" customHeight="1" x14ac:dyDescent="0.25">
      <c r="A45" s="30" t="s">
        <v>588</v>
      </c>
      <c r="B45" s="75">
        <f>'B7-CFlow'!C29</f>
        <v>-197772250</v>
      </c>
      <c r="C45" s="75">
        <f>'B7-CFlow'!D29</f>
        <v>0</v>
      </c>
      <c r="D45" s="75">
        <f>'B7-CFlow'!E29</f>
        <v>0</v>
      </c>
      <c r="E45" s="75">
        <f>'B7-CFlow'!F29</f>
        <v>0</v>
      </c>
      <c r="F45" s="75">
        <f>'B7-CFlow'!G29</f>
        <v>0</v>
      </c>
      <c r="G45" s="75">
        <f>'B7-CFlow'!H29</f>
        <v>0</v>
      </c>
      <c r="H45" s="75">
        <f>'B7-CFlow'!I29</f>
        <v>50000000</v>
      </c>
      <c r="I45" s="75">
        <f>SUM(D45:H45)</f>
        <v>50000000</v>
      </c>
      <c r="J45" s="75">
        <f>IF(C45=0,B45+I45,C45+I45)</f>
        <v>-147772250</v>
      </c>
      <c r="K45" s="75">
        <f>'B7-CFlow'!L29</f>
        <v>-127891350</v>
      </c>
      <c r="L45" s="76">
        <f>'B7-CFlow'!M29</f>
        <v>-143627937.5</v>
      </c>
      <c r="M45" s="128"/>
    </row>
    <row r="46" spans="1:13" ht="12.75" customHeight="1" x14ac:dyDescent="0.25">
      <c r="A46" s="30" t="s">
        <v>589</v>
      </c>
      <c r="B46" s="75">
        <f>'B7-CFlow'!C38</f>
        <v>80043156.069999993</v>
      </c>
      <c r="C46" s="75">
        <f>'B7-CFlow'!D38</f>
        <v>0</v>
      </c>
      <c r="D46" s="75">
        <f>'B7-CFlow'!E38</f>
        <v>0</v>
      </c>
      <c r="E46" s="75">
        <f>'B7-CFlow'!F38</f>
        <v>0</v>
      </c>
      <c r="F46" s="75">
        <f>'B7-CFlow'!G38</f>
        <v>0</v>
      </c>
      <c r="G46" s="75">
        <f>'B7-CFlow'!H38</f>
        <v>0</v>
      </c>
      <c r="H46" s="75">
        <f>'B7-CFlow'!I38</f>
        <v>-50000000</v>
      </c>
      <c r="I46" s="75">
        <f>SUM(D46:H46)</f>
        <v>-50000000</v>
      </c>
      <c r="J46" s="75">
        <f>IF(C46=0,B46+I46,C46+I46)</f>
        <v>30043156.069999993</v>
      </c>
      <c r="K46" s="75">
        <f>'B7-CFlow'!L38</f>
        <v>10316163.12152498</v>
      </c>
      <c r="L46" s="76">
        <f>'B7-CFlow'!M38</f>
        <v>16685161.399950899</v>
      </c>
      <c r="M46" s="128"/>
    </row>
    <row r="47" spans="1:13" ht="12.75" customHeight="1" x14ac:dyDescent="0.25">
      <c r="A47" s="51" t="s">
        <v>590</v>
      </c>
      <c r="B47" s="141">
        <f>'B7-CFlow'!C42</f>
        <v>11456836.829999983</v>
      </c>
      <c r="C47" s="141">
        <f>'B7-CFlow'!D42</f>
        <v>0</v>
      </c>
      <c r="D47" s="141">
        <f>'B7-CFlow'!E42</f>
        <v>0</v>
      </c>
      <c r="E47" s="141">
        <f>'B7-CFlow'!F42</f>
        <v>0</v>
      </c>
      <c r="F47" s="141">
        <f>'B7-CFlow'!G42</f>
        <v>0</v>
      </c>
      <c r="G47" s="141">
        <f>'B7-CFlow'!H42</f>
        <v>0</v>
      </c>
      <c r="H47" s="141">
        <f>'B7-CFlow'!I42</f>
        <v>-4786921</v>
      </c>
      <c r="I47" s="141">
        <f>SUM(D47:H47)</f>
        <v>-4786921</v>
      </c>
      <c r="J47" s="141">
        <f>IF(C47=0,B47+I47,C47+I47)</f>
        <v>6669915.8299999833</v>
      </c>
      <c r="K47" s="141">
        <f>'B7-CFlow'!L42</f>
        <v>7585534.8383245338</v>
      </c>
      <c r="L47" s="142">
        <f>'B7-CFlow'!M42</f>
        <v>17412607.94884982</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591</v>
      </c>
      <c r="B49" s="31"/>
      <c r="C49" s="32"/>
      <c r="D49" s="32"/>
      <c r="E49" s="32"/>
      <c r="F49" s="32"/>
      <c r="G49" s="32"/>
      <c r="H49" s="32"/>
      <c r="I49" s="32"/>
      <c r="J49" s="32"/>
      <c r="K49" s="33"/>
      <c r="L49" s="34"/>
      <c r="M49" s="128"/>
    </row>
    <row r="50" spans="1:16" ht="12.75" customHeight="1" x14ac:dyDescent="0.25">
      <c r="A50" s="30" t="s">
        <v>592</v>
      </c>
      <c r="B50" s="75">
        <f>'B8-ResRecon'!C10</f>
        <v>56806431.203500003</v>
      </c>
      <c r="C50" s="75">
        <f>'B8-ResRecon'!D10</f>
        <v>0</v>
      </c>
      <c r="D50" s="75">
        <f>'B8-ResRecon'!E10</f>
        <v>0</v>
      </c>
      <c r="E50" s="75">
        <f>'B8-ResRecon'!F10</f>
        <v>0</v>
      </c>
      <c r="F50" s="75">
        <f>'B8-ResRecon'!G10</f>
        <v>0</v>
      </c>
      <c r="G50" s="75">
        <f>'B8-ResRecon'!H10</f>
        <v>0</v>
      </c>
      <c r="H50" s="75">
        <f>'B8-ResRecon'!I10</f>
        <v>-4786921</v>
      </c>
      <c r="I50" s="75">
        <f>SUM(D50:H50)</f>
        <v>-4786921</v>
      </c>
      <c r="J50" s="75">
        <f>IF(C50=0,B50+I50,C50+I50)</f>
        <v>52019510.203500003</v>
      </c>
      <c r="K50" s="75">
        <f>'B8-ResRecon'!L10</f>
        <v>58678929.352829531</v>
      </c>
      <c r="L50" s="76">
        <f>'B8-ResRecon'!M10</f>
        <v>75013932.741448969</v>
      </c>
      <c r="M50" s="128"/>
    </row>
    <row r="51" spans="1:16" ht="12.75" customHeight="1" x14ac:dyDescent="0.25">
      <c r="A51" s="30" t="s">
        <v>593</v>
      </c>
      <c r="B51" s="75">
        <f>'B8-ResRecon'!C20</f>
        <v>-104287389.7965</v>
      </c>
      <c r="C51" s="75">
        <f>'B8-ResRecon'!D20</f>
        <v>0</v>
      </c>
      <c r="D51" s="75">
        <f>'B8-ResRecon'!E20</f>
        <v>0</v>
      </c>
      <c r="E51" s="75">
        <f>'B8-ResRecon'!F20</f>
        <v>0</v>
      </c>
      <c r="F51" s="75">
        <f>'B8-ResRecon'!G20</f>
        <v>0</v>
      </c>
      <c r="G51" s="75">
        <f>'B8-ResRecon'!H20</f>
        <v>0</v>
      </c>
      <c r="H51" s="75">
        <f>'B8-ResRecon'!I20</f>
        <v>6382</v>
      </c>
      <c r="I51" s="75">
        <f>SUM(D51:H51)</f>
        <v>6382</v>
      </c>
      <c r="J51" s="75">
        <f>IF(C51=0,B51+I51,C51+I51)</f>
        <v>-104281007.7965</v>
      </c>
      <c r="K51" s="75">
        <f>'B8-ResRecon'!L20</f>
        <v>-103742187.485495</v>
      </c>
      <c r="L51" s="76">
        <f>'B8-ResRecon'!M20</f>
        <v>-102460017.20740086</v>
      </c>
      <c r="M51" s="128"/>
    </row>
    <row r="52" spans="1:16" ht="12.75" customHeight="1" x14ac:dyDescent="0.25">
      <c r="A52" s="51" t="s">
        <v>594</v>
      </c>
      <c r="B52" s="141">
        <f t="shared" ref="B52:L52" si="10">B50-B51</f>
        <v>161093821</v>
      </c>
      <c r="C52" s="141">
        <f t="shared" si="10"/>
        <v>0</v>
      </c>
      <c r="D52" s="141">
        <f t="shared" si="10"/>
        <v>0</v>
      </c>
      <c r="E52" s="141">
        <f t="shared" si="10"/>
        <v>0</v>
      </c>
      <c r="F52" s="141">
        <f t="shared" si="10"/>
        <v>0</v>
      </c>
      <c r="G52" s="141">
        <f t="shared" si="10"/>
        <v>0</v>
      </c>
      <c r="H52" s="141">
        <f t="shared" si="10"/>
        <v>-4793303</v>
      </c>
      <c r="I52" s="141">
        <f t="shared" si="10"/>
        <v>-4793303</v>
      </c>
      <c r="J52" s="141">
        <f t="shared" si="10"/>
        <v>156300518</v>
      </c>
      <c r="K52" s="141">
        <f t="shared" si="10"/>
        <v>162421116.83832455</v>
      </c>
      <c r="L52" s="142">
        <f t="shared" si="10"/>
        <v>177473949.94884983</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595</v>
      </c>
      <c r="B54" s="31"/>
      <c r="C54" s="32"/>
      <c r="D54" s="32"/>
      <c r="E54" s="32"/>
      <c r="F54" s="32"/>
      <c r="G54" s="32"/>
      <c r="H54" s="32"/>
      <c r="I54" s="32"/>
      <c r="J54" s="27"/>
      <c r="K54" s="33"/>
      <c r="L54" s="34"/>
      <c r="M54" s="128"/>
    </row>
    <row r="55" spans="1:16" ht="12.75" customHeight="1" x14ac:dyDescent="0.25">
      <c r="A55" s="30" t="s">
        <v>596</v>
      </c>
      <c r="B55" s="75">
        <f>'B9-Asset'!C167</f>
        <v>1972770517.0567999</v>
      </c>
      <c r="C55" s="75">
        <f>'B9-Asset'!D167</f>
        <v>0</v>
      </c>
      <c r="D55" s="75">
        <f>'B9-Asset'!E167</f>
        <v>0</v>
      </c>
      <c r="E55" s="75">
        <f>'B9-Asset'!F167</f>
        <v>0</v>
      </c>
      <c r="F55" s="75">
        <f>'B9-Asset'!G167</f>
        <v>0</v>
      </c>
      <c r="G55" s="75">
        <f>'B9-Asset'!H167</f>
        <v>0</v>
      </c>
      <c r="H55" s="75">
        <f>'B9-Asset'!I167</f>
        <v>-50000000</v>
      </c>
      <c r="I55" s="75">
        <f>SUM(D55:H55)</f>
        <v>-50000000</v>
      </c>
      <c r="J55" s="75">
        <f>IF(C55=0,B55+I55,C55+I55)</f>
        <v>1922770517.0567999</v>
      </c>
      <c r="K55" s="75">
        <f>'B9-Asset'!L167</f>
        <v>1987004013.973392</v>
      </c>
      <c r="L55" s="76">
        <f>'B9-Asset'!M167</f>
        <v>2034100823.3149884</v>
      </c>
      <c r="M55" s="128"/>
    </row>
    <row r="56" spans="1:16" ht="12.75" customHeight="1" x14ac:dyDescent="0.25">
      <c r="A56" s="30" t="s">
        <v>565</v>
      </c>
      <c r="B56" s="171">
        <f>'B9-Asset'!C170</f>
        <v>133475495.45999999</v>
      </c>
      <c r="C56" s="75">
        <f>'B9-Asset'!D170</f>
        <v>0</v>
      </c>
      <c r="D56" s="75">
        <f>'B9-Asset'!E170</f>
        <v>0</v>
      </c>
      <c r="E56" s="75">
        <f>'B9-Asset'!F170</f>
        <v>0</v>
      </c>
      <c r="F56" s="75">
        <f>'B9-Asset'!G170</f>
        <v>0</v>
      </c>
      <c r="G56" s="75">
        <f>'B9-Asset'!H170</f>
        <v>0</v>
      </c>
      <c r="H56" s="75">
        <f>'B9-Asset'!I170</f>
        <v>0</v>
      </c>
      <c r="I56" s="75">
        <f>SUM(D56:H56)</f>
        <v>0</v>
      </c>
      <c r="J56" s="75">
        <f>IF(C56=0,B56+I56,C56+I56)</f>
        <v>133475495.45999999</v>
      </c>
      <c r="K56" s="75">
        <f>'B9-Asset'!L170</f>
        <v>135403831.84</v>
      </c>
      <c r="L56" s="76">
        <f>'B9-Asset'!M170</f>
        <v>138917142</v>
      </c>
      <c r="M56" s="128"/>
    </row>
    <row r="57" spans="1:16" ht="12.75" customHeight="1" x14ac:dyDescent="0.25">
      <c r="A57" s="30" t="s">
        <v>1796</v>
      </c>
      <c r="B57" s="75">
        <f>'B9-Asset'!C39+'B9-Asset'!C71</f>
        <v>127334887.26999998</v>
      </c>
      <c r="C57" s="75">
        <f>'B9-Asset'!D39+'B9-Asset'!D71</f>
        <v>0</v>
      </c>
      <c r="D57" s="75">
        <f>'B9-Asset'!E39+'B9-Asset'!E71</f>
        <v>0</v>
      </c>
      <c r="E57" s="75">
        <f>'B9-Asset'!F39+'B9-Asset'!F71</f>
        <v>0</v>
      </c>
      <c r="F57" s="75">
        <f>'B9-Asset'!G39+'B9-Asset'!G71</f>
        <v>0</v>
      </c>
      <c r="G57" s="75">
        <f>'B9-Asset'!H39+'B9-Asset'!H71</f>
        <v>0</v>
      </c>
      <c r="H57" s="75">
        <f>'B9-Asset'!I39+'B9-Asset'!I71</f>
        <v>-50439756.270000003</v>
      </c>
      <c r="I57" s="75">
        <f>SUM(D57:H57)</f>
        <v>-50439756.270000003</v>
      </c>
      <c r="J57" s="75">
        <f>IF(C57=0,B57+I57,C57+I57)</f>
        <v>76895130.99999997</v>
      </c>
      <c r="K57" s="75">
        <f>'B9-Asset'!L39+'B9-Asset'!L71</f>
        <v>37992728</v>
      </c>
      <c r="L57" s="76">
        <f>'B9-Asset'!M39+'B9-Asset'!M71</f>
        <v>51816714</v>
      </c>
      <c r="M57" s="128"/>
    </row>
    <row r="58" spans="1:16" ht="12.75" customHeight="1" x14ac:dyDescent="0.25">
      <c r="A58" s="30" t="s">
        <v>597</v>
      </c>
      <c r="B58" s="75">
        <f>'B9-Asset'!C171</f>
        <v>51180124.61999999</v>
      </c>
      <c r="C58" s="75">
        <f>'B9-Asset'!D171</f>
        <v>0</v>
      </c>
      <c r="D58" s="75">
        <f>'B9-Asset'!E171</f>
        <v>0</v>
      </c>
      <c r="E58" s="75">
        <f>'B9-Asset'!F171</f>
        <v>0</v>
      </c>
      <c r="F58" s="75">
        <f>'B9-Asset'!G171</f>
        <v>0</v>
      </c>
      <c r="G58" s="75">
        <f>'B9-Asset'!H171</f>
        <v>0</v>
      </c>
      <c r="H58" s="75">
        <f>'B9-Asset'!I171</f>
        <v>9801407</v>
      </c>
      <c r="I58" s="75">
        <f>SUM(D58:H58)</f>
        <v>9801407</v>
      </c>
      <c r="J58" s="75">
        <f>IF(C58=0,B58+I58,C58+I58)</f>
        <v>60981531.61999999</v>
      </c>
      <c r="K58" s="75">
        <f>'B9-Asset'!L171</f>
        <v>60094732.474100009</v>
      </c>
      <c r="L58" s="76">
        <f>'B9-Asset'!M171</f>
        <v>63399943.205175504</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1029</v>
      </c>
      <c r="B60" s="35"/>
      <c r="C60" s="32"/>
      <c r="D60" s="32"/>
      <c r="E60" s="32"/>
      <c r="F60" s="32"/>
      <c r="G60" s="32"/>
      <c r="H60" s="32"/>
      <c r="I60" s="32"/>
      <c r="J60" s="32"/>
      <c r="K60" s="33"/>
      <c r="L60" s="34"/>
      <c r="M60" s="552"/>
      <c r="N60" s="53"/>
      <c r="O60" s="53"/>
      <c r="P60" s="53"/>
    </row>
    <row r="61" spans="1:16" ht="12.75" customHeight="1" x14ac:dyDescent="0.25">
      <c r="A61" s="30" t="s">
        <v>598</v>
      </c>
      <c r="B61" s="75">
        <f>'B10-SerDel'!C62</f>
        <v>6283000</v>
      </c>
      <c r="C61" s="75">
        <f>'B10-SerDel'!D62</f>
        <v>0</v>
      </c>
      <c r="D61" s="75">
        <f>'B10-SerDel'!E62</f>
        <v>0</v>
      </c>
      <c r="E61" s="75">
        <f>'B10-SerDel'!F62</f>
        <v>0</v>
      </c>
      <c r="F61" s="75">
        <f>'B10-SerDel'!G62</f>
        <v>0</v>
      </c>
      <c r="G61" s="75">
        <f>'B10-SerDel'!H62</f>
        <v>0</v>
      </c>
      <c r="H61" s="75">
        <f>'B10-SerDel'!I62</f>
        <v>0</v>
      </c>
      <c r="I61" s="75">
        <f>'B10-SerDel'!J62</f>
        <v>0</v>
      </c>
      <c r="J61" s="75">
        <f>'B10-SerDel'!K62</f>
        <v>6283000</v>
      </c>
      <c r="K61" s="75">
        <f>'B10-SerDel'!L62</f>
        <v>6825000</v>
      </c>
      <c r="L61" s="76">
        <f>'B10-SerDel'!M62</f>
        <v>7400000</v>
      </c>
      <c r="M61" s="128"/>
      <c r="N61" s="54"/>
      <c r="O61" s="54"/>
      <c r="P61" s="54"/>
    </row>
    <row r="62" spans="1:16" ht="12.75" customHeight="1" x14ac:dyDescent="0.25">
      <c r="A62" s="36" t="s">
        <v>599</v>
      </c>
      <c r="B62" s="75">
        <f>'B10-SerDel'!C81</f>
        <v>33182000</v>
      </c>
      <c r="C62" s="75">
        <f>'B10-SerDel'!D81</f>
        <v>0</v>
      </c>
      <c r="D62" s="75">
        <f>'B10-SerDel'!E81</f>
        <v>0</v>
      </c>
      <c r="E62" s="75">
        <f>'B10-SerDel'!F81</f>
        <v>0</v>
      </c>
      <c r="F62" s="75">
        <f>'B10-SerDel'!G81</f>
        <v>0</v>
      </c>
      <c r="G62" s="75">
        <f>'B10-SerDel'!H81</f>
        <v>0</v>
      </c>
      <c r="H62" s="75">
        <f>'B10-SerDel'!I81</f>
        <v>0</v>
      </c>
      <c r="I62" s="75">
        <f>'B10-SerDel'!J81</f>
        <v>0</v>
      </c>
      <c r="J62" s="75">
        <f>'B10-SerDel'!K81</f>
        <v>33182000</v>
      </c>
      <c r="K62" s="75">
        <f>'B10-SerDel'!L81</f>
        <v>35081250</v>
      </c>
      <c r="L62" s="76">
        <f>'B10-SerDel'!M81</f>
        <v>37077618.75</v>
      </c>
      <c r="M62" s="846"/>
      <c r="N62" s="54"/>
      <c r="O62" s="54"/>
      <c r="P62" s="54"/>
    </row>
    <row r="63" spans="1:16" ht="12.75" customHeight="1" x14ac:dyDescent="0.25">
      <c r="A63" s="841" t="s">
        <v>1028</v>
      </c>
      <c r="B63" s="35"/>
      <c r="C63" s="32"/>
      <c r="D63" s="32"/>
      <c r="E63" s="32"/>
      <c r="F63" s="32"/>
      <c r="G63" s="32"/>
      <c r="H63" s="32"/>
      <c r="I63" s="32"/>
      <c r="J63" s="32"/>
      <c r="K63" s="33"/>
      <c r="L63" s="34"/>
      <c r="M63" s="846"/>
      <c r="N63" s="54"/>
      <c r="O63" s="54"/>
      <c r="P63" s="54"/>
    </row>
    <row r="64" spans="1:16" ht="12.75" customHeight="1" x14ac:dyDescent="0.25">
      <c r="A64" s="55" t="s">
        <v>600</v>
      </c>
      <c r="B64" s="75">
        <f>'B10-SerDel'!C16</f>
        <v>23511</v>
      </c>
      <c r="C64" s="75">
        <f>'B10-SerDel'!D16</f>
        <v>0</v>
      </c>
      <c r="D64" s="75">
        <f>'B10-SerDel'!E16</f>
        <v>0</v>
      </c>
      <c r="E64" s="75">
        <f>'B10-SerDel'!F16</f>
        <v>0</v>
      </c>
      <c r="F64" s="75">
        <f>'B10-SerDel'!G16</f>
        <v>0</v>
      </c>
      <c r="G64" s="75">
        <f>'B10-SerDel'!H16</f>
        <v>0</v>
      </c>
      <c r="H64" s="75">
        <f>'B10-SerDel'!I16</f>
        <v>0</v>
      </c>
      <c r="I64" s="75">
        <f>SUM(D64:H64)</f>
        <v>0</v>
      </c>
      <c r="J64" s="75">
        <f>IF(C64=0,B64+I64,C64+I64)</f>
        <v>23511</v>
      </c>
      <c r="K64" s="75">
        <f>'B10-SerDel'!L16</f>
        <v>23511</v>
      </c>
      <c r="L64" s="76">
        <f>'B10-SerDel'!M16</f>
        <v>23511</v>
      </c>
      <c r="M64" s="54"/>
      <c r="N64" s="54"/>
      <c r="O64" s="54"/>
      <c r="P64" s="54"/>
    </row>
    <row r="65" spans="1:16" ht="12.75" customHeight="1" x14ac:dyDescent="0.25">
      <c r="A65" s="55" t="s">
        <v>601</v>
      </c>
      <c r="B65" s="75">
        <f>'B10-SerDel'!C28</f>
        <v>27058</v>
      </c>
      <c r="C65" s="75">
        <f>'B10-SerDel'!D28</f>
        <v>0</v>
      </c>
      <c r="D65" s="75">
        <f>'B10-SerDel'!E28</f>
        <v>0</v>
      </c>
      <c r="E65" s="75">
        <f>'B10-SerDel'!F28</f>
        <v>0</v>
      </c>
      <c r="F65" s="75">
        <f>'B10-SerDel'!G28</f>
        <v>0</v>
      </c>
      <c r="G65" s="75">
        <f>'B10-SerDel'!H28</f>
        <v>0</v>
      </c>
      <c r="H65" s="75">
        <f>'B10-SerDel'!I28</f>
        <v>0</v>
      </c>
      <c r="I65" s="75">
        <f>SUM(D65:H65)</f>
        <v>0</v>
      </c>
      <c r="J65" s="75">
        <f>IF(C65=0,B65+I65,C65+I65)</f>
        <v>27058</v>
      </c>
      <c r="K65" s="75">
        <f>'B10-SerDel'!L28</f>
        <v>27058</v>
      </c>
      <c r="L65" s="76">
        <f>'B10-SerDel'!M28</f>
        <v>27058</v>
      </c>
      <c r="M65" s="53"/>
      <c r="N65" s="53"/>
      <c r="O65" s="53"/>
      <c r="P65" s="53"/>
    </row>
    <row r="66" spans="1:16" ht="12.75" customHeight="1" x14ac:dyDescent="0.25">
      <c r="A66" s="55" t="s">
        <v>602</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603</v>
      </c>
      <c r="B67" s="75">
        <f>'B10-SerDel'!C47</f>
        <v>113717</v>
      </c>
      <c r="C67" s="75">
        <f>'B10-SerDel'!D47</f>
        <v>0</v>
      </c>
      <c r="D67" s="75">
        <f>'B10-SerDel'!E47</f>
        <v>0</v>
      </c>
      <c r="E67" s="75">
        <f>'B10-SerDel'!F47</f>
        <v>0</v>
      </c>
      <c r="F67" s="75">
        <f>'B10-SerDel'!G47</f>
        <v>0</v>
      </c>
      <c r="G67" s="75">
        <f>'B10-SerDel'!H47</f>
        <v>0</v>
      </c>
      <c r="H67" s="75">
        <f>'B10-SerDel'!I47</f>
        <v>0</v>
      </c>
      <c r="I67" s="75">
        <f>SUM(D67:H67)</f>
        <v>0</v>
      </c>
      <c r="J67" s="75">
        <f>IF(C67=0,B67+I67,C67+I67)</f>
        <v>113717</v>
      </c>
      <c r="K67" s="75">
        <f>'B10-SerDel'!L47</f>
        <v>117492</v>
      </c>
      <c r="L67" s="76">
        <f>'B10-SerDel'!M47</f>
        <v>121396</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50" t="s">
        <v>519</v>
      </c>
    </row>
    <row r="70" spans="1:16" x14ac:dyDescent="0.25">
      <c r="A70" s="1395" t="s">
        <v>996</v>
      </c>
      <c r="B70" s="1395"/>
      <c r="C70" s="1395"/>
      <c r="D70" s="1395"/>
      <c r="E70" s="1395"/>
      <c r="F70" s="1395"/>
      <c r="G70" s="1395"/>
      <c r="H70" s="1395"/>
      <c r="I70" s="1395"/>
      <c r="J70" s="1395"/>
      <c r="K70" s="1395"/>
      <c r="L70" s="1395"/>
      <c r="M70" s="1395"/>
    </row>
    <row r="71" spans="1:16" x14ac:dyDescent="0.25">
      <c r="A71" s="1395" t="s">
        <v>7</v>
      </c>
      <c r="B71" s="1395"/>
      <c r="C71" s="1395"/>
      <c r="D71" s="1395"/>
      <c r="E71" s="1395"/>
      <c r="F71" s="1395"/>
      <c r="G71" s="1395"/>
      <c r="H71" s="1395"/>
      <c r="I71" s="1395"/>
      <c r="J71" s="1395"/>
      <c r="K71" s="1395"/>
      <c r="L71" s="1395"/>
      <c r="M71" s="1395"/>
    </row>
    <row r="72" spans="1:16" x14ac:dyDescent="0.25">
      <c r="A72" s="1389" t="s">
        <v>8</v>
      </c>
      <c r="B72" s="1389"/>
      <c r="C72" s="1389"/>
      <c r="D72" s="1389"/>
      <c r="E72" s="1389"/>
      <c r="F72" s="1389"/>
      <c r="G72" s="1389"/>
      <c r="H72" s="1389"/>
      <c r="I72" s="1389"/>
      <c r="J72" s="1389"/>
      <c r="K72" s="1389"/>
      <c r="L72" s="1389"/>
      <c r="M72" s="1389"/>
    </row>
    <row r="73" spans="1:16" x14ac:dyDescent="0.25">
      <c r="A73" s="1389" t="s">
        <v>9</v>
      </c>
      <c r="B73" s="1389"/>
      <c r="C73" s="1389"/>
      <c r="D73" s="1389"/>
      <c r="E73" s="1389"/>
      <c r="F73" s="1389"/>
      <c r="G73" s="1389"/>
      <c r="H73" s="1389"/>
      <c r="I73" s="1389"/>
      <c r="J73" s="1389"/>
      <c r="K73" s="1389"/>
      <c r="L73" s="1389"/>
      <c r="M73" s="1389"/>
    </row>
    <row r="74" spans="1:16" x14ac:dyDescent="0.25">
      <c r="A74" s="99" t="s">
        <v>10</v>
      </c>
      <c r="B74" s="93"/>
      <c r="C74" s="96"/>
      <c r="D74" s="96"/>
      <c r="E74" s="96"/>
      <c r="F74" s="96"/>
      <c r="G74" s="96"/>
      <c r="H74" s="96"/>
      <c r="I74" s="96"/>
      <c r="J74" s="96"/>
      <c r="K74" s="96"/>
      <c r="L74" s="96"/>
      <c r="M74" s="96"/>
    </row>
    <row r="75" spans="1:16" x14ac:dyDescent="0.25">
      <c r="A75" s="1389" t="s">
        <v>11</v>
      </c>
      <c r="B75" s="1389"/>
      <c r="C75" s="1389"/>
      <c r="D75" s="1389"/>
      <c r="E75" s="1389"/>
      <c r="F75" s="1389"/>
      <c r="G75" s="1389"/>
      <c r="H75" s="1389"/>
      <c r="I75" s="1389"/>
      <c r="J75" s="1389"/>
      <c r="K75" s="1389"/>
      <c r="L75" s="1389"/>
      <c r="M75" s="1389"/>
    </row>
    <row r="76" spans="1:16" x14ac:dyDescent="0.25">
      <c r="A76" s="99" t="s">
        <v>12</v>
      </c>
      <c r="B76" s="93"/>
      <c r="C76" s="96"/>
      <c r="D76" s="96"/>
      <c r="E76" s="96"/>
      <c r="F76" s="96"/>
      <c r="G76" s="96"/>
      <c r="H76" s="96"/>
      <c r="I76" s="96"/>
      <c r="J76" s="96"/>
      <c r="K76" s="96"/>
      <c r="L76" s="96"/>
      <c r="M76" s="96"/>
    </row>
    <row r="77" spans="1:16" x14ac:dyDescent="0.25">
      <c r="A77" s="1389" t="s">
        <v>13</v>
      </c>
      <c r="B77" s="1389"/>
      <c r="C77" s="1389"/>
      <c r="D77" s="1389"/>
      <c r="E77" s="1389"/>
      <c r="F77" s="1389"/>
      <c r="G77" s="1389"/>
      <c r="H77" s="1389"/>
      <c r="I77" s="1389"/>
      <c r="J77" s="1389"/>
      <c r="K77" s="1389"/>
      <c r="L77" s="1389"/>
      <c r="M77" s="1389"/>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A57" sqref="A57:M57"/>
    </sheetView>
  </sheetViews>
  <sheetFormatPr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LIM333 Greater Tzaneen - Table B2 Adjustments Budget Financial Performance (functional classification) - 27/02/2019</v>
      </c>
      <c r="B1" s="5"/>
      <c r="C1" s="58"/>
    </row>
    <row r="2" spans="1:14" ht="38.25" x14ac:dyDescent="0.25">
      <c r="A2" s="1398" t="str">
        <f>"Standard "&amp;desc</f>
        <v>Standard Description</v>
      </c>
      <c r="B2" s="1393" t="str">
        <f>head27</f>
        <v>Ref</v>
      </c>
      <c r="C2" s="1390" t="str">
        <f>Head2</f>
        <v>Budget Year 2018/19</v>
      </c>
      <c r="D2" s="1391"/>
      <c r="E2" s="1391"/>
      <c r="F2" s="1391"/>
      <c r="G2" s="1391"/>
      <c r="H2" s="1391"/>
      <c r="I2" s="1391"/>
      <c r="J2" s="1391"/>
      <c r="K2" s="1391"/>
      <c r="L2" s="103" t="str">
        <f>Head10</f>
        <v>Budget Year +1 2019/20</v>
      </c>
      <c r="M2" s="61" t="str">
        <f>Head11</f>
        <v>Budget Year +2 2020/21</v>
      </c>
    </row>
    <row r="3" spans="1:14" ht="25.5" x14ac:dyDescent="0.25">
      <c r="A3" s="1399"/>
      <c r="B3" s="139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605</v>
      </c>
      <c r="B5" s="104" t="s">
        <v>614</v>
      </c>
      <c r="C5" s="67" t="s">
        <v>548</v>
      </c>
      <c r="D5" s="68" t="s">
        <v>549</v>
      </c>
      <c r="E5" s="68" t="s">
        <v>550</v>
      </c>
      <c r="F5" s="69" t="s">
        <v>551</v>
      </c>
      <c r="G5" s="69" t="s">
        <v>552</v>
      </c>
      <c r="H5" s="69" t="s">
        <v>553</v>
      </c>
      <c r="I5" s="70" t="s">
        <v>554</v>
      </c>
      <c r="J5" s="70" t="s">
        <v>555</v>
      </c>
      <c r="K5" s="70" t="s">
        <v>556</v>
      </c>
      <c r="L5" s="70"/>
      <c r="M5" s="71"/>
    </row>
    <row r="6" spans="1:14" ht="12.75" customHeight="1" x14ac:dyDescent="0.25">
      <c r="A6" s="493" t="s">
        <v>1582</v>
      </c>
      <c r="B6" s="105"/>
      <c r="C6" s="106"/>
      <c r="D6" s="75"/>
      <c r="E6" s="75"/>
      <c r="F6" s="75"/>
      <c r="G6" s="75"/>
      <c r="H6" s="75"/>
      <c r="I6" s="75"/>
      <c r="J6" s="75"/>
      <c r="K6" s="75"/>
      <c r="L6" s="75"/>
      <c r="M6" s="76"/>
      <c r="N6" s="128"/>
    </row>
    <row r="7" spans="1:14" ht="12.75" customHeight="1" x14ac:dyDescent="0.25">
      <c r="A7" s="107" t="s">
        <v>615</v>
      </c>
      <c r="B7" s="73"/>
      <c r="C7" s="257">
        <f>SUM(C8:C10)</f>
        <v>450217007</v>
      </c>
      <c r="D7" s="257">
        <f t="shared" ref="D7:I7" si="1">SUM(D8:D10)</f>
        <v>0</v>
      </c>
      <c r="E7" s="257">
        <f t="shared" si="1"/>
        <v>0</v>
      </c>
      <c r="F7" s="257">
        <f t="shared" si="1"/>
        <v>0</v>
      </c>
      <c r="G7" s="257">
        <f t="shared" si="1"/>
        <v>0</v>
      </c>
      <c r="H7" s="257">
        <f t="shared" si="1"/>
        <v>0</v>
      </c>
      <c r="I7" s="257">
        <f t="shared" si="1"/>
        <v>0</v>
      </c>
      <c r="J7" s="257">
        <f>SUM(J8:J10)</f>
        <v>0</v>
      </c>
      <c r="K7" s="257">
        <f>SUM(K8:K10)</f>
        <v>450217007</v>
      </c>
      <c r="L7" s="257">
        <f>SUM(L8:L10)</f>
        <v>495325047.38500005</v>
      </c>
      <c r="M7" s="710">
        <f>SUM(M8:M10)</f>
        <v>536357959.99117494</v>
      </c>
      <c r="N7" s="128"/>
    </row>
    <row r="8" spans="1:14" ht="12.75" customHeight="1" x14ac:dyDescent="0.25">
      <c r="A8" s="108" t="s">
        <v>616</v>
      </c>
      <c r="B8" s="73"/>
      <c r="C8" s="132">
        <f>B2B!C8</f>
        <v>1100</v>
      </c>
      <c r="D8" s="132">
        <f>B2B!D8</f>
        <v>0</v>
      </c>
      <c r="E8" s="132">
        <f>B2B!E8</f>
        <v>0</v>
      </c>
      <c r="F8" s="132">
        <f>B2B!F8</f>
        <v>0</v>
      </c>
      <c r="G8" s="132">
        <f>B2B!G8</f>
        <v>0</v>
      </c>
      <c r="H8" s="132">
        <f>B2B!H8</f>
        <v>0</v>
      </c>
      <c r="I8" s="132">
        <f>B2B!I8</f>
        <v>0</v>
      </c>
      <c r="J8" s="171">
        <f>SUM(E8:I8)</f>
        <v>0</v>
      </c>
      <c r="K8" s="171">
        <f>IF(D8=0,C8+J8,D8+J8)</f>
        <v>1100</v>
      </c>
      <c r="L8" s="132">
        <f>B2B!L8</f>
        <v>1160.5</v>
      </c>
      <c r="M8" s="133">
        <f>B2B!M8</f>
        <v>1224.3275000000001</v>
      </c>
      <c r="N8" s="128"/>
    </row>
    <row r="9" spans="1:14" ht="12.75" customHeight="1" x14ac:dyDescent="0.25">
      <c r="A9" s="108" t="s">
        <v>1501</v>
      </c>
      <c r="B9" s="73"/>
      <c r="C9" s="791">
        <f>B2B!C11</f>
        <v>450215907</v>
      </c>
      <c r="D9" s="791">
        <f>B2B!D11</f>
        <v>0</v>
      </c>
      <c r="E9" s="791">
        <f>B2B!E11</f>
        <v>0</v>
      </c>
      <c r="F9" s="791">
        <f>B2B!F11</f>
        <v>0</v>
      </c>
      <c r="G9" s="791">
        <f>B2B!G11</f>
        <v>0</v>
      </c>
      <c r="H9" s="791">
        <f>B2B!H11</f>
        <v>0</v>
      </c>
      <c r="I9" s="791">
        <f>B2B!I11</f>
        <v>0</v>
      </c>
      <c r="J9" s="171">
        <f>SUM(E9:I9)</f>
        <v>0</v>
      </c>
      <c r="K9" s="171">
        <f>IF(D9=0,C9+J9,D9+J9)</f>
        <v>450215907</v>
      </c>
      <c r="L9" s="791">
        <f>B2B!L11</f>
        <v>495323886.88500005</v>
      </c>
      <c r="M9" s="792">
        <f>B2B!M11</f>
        <v>536356735.66367495</v>
      </c>
      <c r="N9" s="128"/>
    </row>
    <row r="10" spans="1:14" ht="12.75" customHeight="1" x14ac:dyDescent="0.25">
      <c r="A10" s="108" t="s">
        <v>1502</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617</v>
      </c>
      <c r="B11" s="73"/>
      <c r="C11" s="257">
        <f>SUM(C12:C16)</f>
        <v>6917620</v>
      </c>
      <c r="D11" s="257">
        <f t="shared" ref="D11:I11" si="2">SUM(D12:D16)</f>
        <v>0</v>
      </c>
      <c r="E11" s="257">
        <f t="shared" si="2"/>
        <v>0</v>
      </c>
      <c r="F11" s="257">
        <f t="shared" si="2"/>
        <v>0</v>
      </c>
      <c r="G11" s="257">
        <f t="shared" si="2"/>
        <v>0</v>
      </c>
      <c r="H11" s="257">
        <f t="shared" si="2"/>
        <v>0</v>
      </c>
      <c r="I11" s="257">
        <f t="shared" si="2"/>
        <v>0</v>
      </c>
      <c r="J11" s="257">
        <f>SUM(J12:J16)</f>
        <v>0</v>
      </c>
      <c r="K11" s="257">
        <f>SUM(K12:K16)</f>
        <v>6917620</v>
      </c>
      <c r="L11" s="257">
        <f>SUM(L12:L16)</f>
        <v>7298089.0999999996</v>
      </c>
      <c r="M11" s="710">
        <f>SUM(M12:M16)</f>
        <v>7699484.0005000001</v>
      </c>
      <c r="N11" s="128"/>
    </row>
    <row r="12" spans="1:14" ht="12.75" customHeight="1" x14ac:dyDescent="0.25">
      <c r="A12" s="108" t="s">
        <v>618</v>
      </c>
      <c r="B12" s="73"/>
      <c r="C12" s="132">
        <f>B2B!C28</f>
        <v>65629</v>
      </c>
      <c r="D12" s="132">
        <f>B2B!D28</f>
        <v>0</v>
      </c>
      <c r="E12" s="132">
        <f>B2B!E28</f>
        <v>0</v>
      </c>
      <c r="F12" s="132">
        <f>B2B!F28</f>
        <v>0</v>
      </c>
      <c r="G12" s="132">
        <f>B2B!G28</f>
        <v>0</v>
      </c>
      <c r="H12" s="132">
        <f>B2B!H28</f>
        <v>0</v>
      </c>
      <c r="I12" s="132">
        <f>B2B!I28</f>
        <v>0</v>
      </c>
      <c r="J12" s="171">
        <f>SUM(E12:I12)</f>
        <v>0</v>
      </c>
      <c r="K12" s="171">
        <f>IF(D12=0,C12+J12,D12+J12)</f>
        <v>65629</v>
      </c>
      <c r="L12" s="132">
        <f>B2B!L28</f>
        <v>69238.595000000001</v>
      </c>
      <c r="M12" s="133">
        <f>B2B!M28</f>
        <v>73046.717724999995</v>
      </c>
      <c r="N12" s="128"/>
    </row>
    <row r="13" spans="1:14" ht="12.75" customHeight="1" x14ac:dyDescent="0.25">
      <c r="A13" s="108" t="s">
        <v>619</v>
      </c>
      <c r="B13" s="73"/>
      <c r="C13" s="132">
        <f>B2B!C50</f>
        <v>560766</v>
      </c>
      <c r="D13" s="132">
        <f>B2B!D50</f>
        <v>0</v>
      </c>
      <c r="E13" s="132">
        <f>B2B!E50</f>
        <v>0</v>
      </c>
      <c r="F13" s="132">
        <f>B2B!F50</f>
        <v>0</v>
      </c>
      <c r="G13" s="132">
        <f>B2B!G50</f>
        <v>0</v>
      </c>
      <c r="H13" s="132">
        <f>B2B!H50</f>
        <v>0</v>
      </c>
      <c r="I13" s="132">
        <f>B2B!I50</f>
        <v>0</v>
      </c>
      <c r="J13" s="171">
        <f>SUM(E13:I13)</f>
        <v>0</v>
      </c>
      <c r="K13" s="171">
        <f>IF(D13=0,C13+J13,D13+J13)</f>
        <v>560766</v>
      </c>
      <c r="L13" s="132">
        <f>B2B!L50</f>
        <v>591608.13</v>
      </c>
      <c r="M13" s="133">
        <f>B2B!M50</f>
        <v>624146.57715000003</v>
      </c>
      <c r="N13" s="128"/>
    </row>
    <row r="14" spans="1:14" ht="12.75" customHeight="1" x14ac:dyDescent="0.25">
      <c r="A14" s="108" t="s">
        <v>620</v>
      </c>
      <c r="B14" s="73"/>
      <c r="C14" s="132">
        <f>B2B!C56</f>
        <v>4001000</v>
      </c>
      <c r="D14" s="132">
        <f>B2B!D56</f>
        <v>0</v>
      </c>
      <c r="E14" s="132">
        <f>B2B!E56</f>
        <v>0</v>
      </c>
      <c r="F14" s="132">
        <f>B2B!F56</f>
        <v>0</v>
      </c>
      <c r="G14" s="132">
        <f>B2B!G56</f>
        <v>0</v>
      </c>
      <c r="H14" s="132">
        <f>B2B!H56</f>
        <v>0</v>
      </c>
      <c r="I14" s="132">
        <f>B2B!I56</f>
        <v>0</v>
      </c>
      <c r="J14" s="171">
        <f>SUM(E14:I14)</f>
        <v>0</v>
      </c>
      <c r="K14" s="171">
        <f>IF(D14=0,C14+J14,D14+J14)</f>
        <v>4001000</v>
      </c>
      <c r="L14" s="132">
        <f>B2B!L56</f>
        <v>4221055</v>
      </c>
      <c r="M14" s="133">
        <f>B2B!M56</f>
        <v>4453213.0250000004</v>
      </c>
      <c r="N14" s="128"/>
    </row>
    <row r="15" spans="1:14" ht="12.75" customHeight="1" x14ac:dyDescent="0.25">
      <c r="A15" s="108" t="s">
        <v>621</v>
      </c>
      <c r="B15" s="73"/>
      <c r="C15" s="132">
        <f>B2B!C65</f>
        <v>2265225</v>
      </c>
      <c r="D15" s="132">
        <f>B2B!D65</f>
        <v>0</v>
      </c>
      <c r="E15" s="132">
        <f>B2B!E65</f>
        <v>0</v>
      </c>
      <c r="F15" s="132">
        <f>B2B!F65</f>
        <v>0</v>
      </c>
      <c r="G15" s="132">
        <f>B2B!G65</f>
        <v>0</v>
      </c>
      <c r="H15" s="132">
        <f>B2B!H65</f>
        <v>0</v>
      </c>
      <c r="I15" s="132">
        <f>B2B!I65</f>
        <v>0</v>
      </c>
      <c r="J15" s="171">
        <f>SUM(E15:I15)</f>
        <v>0</v>
      </c>
      <c r="K15" s="171">
        <f>IF(D15=0,C15+J15,D15+J15)</f>
        <v>2265225</v>
      </c>
      <c r="L15" s="132">
        <f>B2B!L65</f>
        <v>2389812.375</v>
      </c>
      <c r="M15" s="133">
        <f>B2B!M65</f>
        <v>2521252.055625</v>
      </c>
      <c r="N15" s="128"/>
    </row>
    <row r="16" spans="1:14" ht="12.75" customHeight="1" x14ac:dyDescent="0.25">
      <c r="A16" s="108" t="s">
        <v>622</v>
      </c>
      <c r="B16" s="73"/>
      <c r="C16" s="791">
        <f>B2B!C68</f>
        <v>25000</v>
      </c>
      <c r="D16" s="791">
        <f>B2B!D68</f>
        <v>0</v>
      </c>
      <c r="E16" s="791">
        <f>B2B!E68</f>
        <v>0</v>
      </c>
      <c r="F16" s="791">
        <f>B2B!F68</f>
        <v>0</v>
      </c>
      <c r="G16" s="791">
        <f>B2B!G68</f>
        <v>0</v>
      </c>
      <c r="H16" s="791">
        <f>B2B!H68</f>
        <v>0</v>
      </c>
      <c r="I16" s="791">
        <f>B2B!I68</f>
        <v>0</v>
      </c>
      <c r="J16" s="171">
        <f>SUM(E16:I16)</f>
        <v>0</v>
      </c>
      <c r="K16" s="171">
        <f>IF(D16=0,C16+J16,D16+J16)</f>
        <v>25000</v>
      </c>
      <c r="L16" s="791">
        <f>B2B!L68</f>
        <v>26375</v>
      </c>
      <c r="M16" s="792">
        <f>B2B!M68</f>
        <v>27825.625</v>
      </c>
      <c r="N16" s="128"/>
    </row>
    <row r="17" spans="1:14" ht="12.75" customHeight="1" x14ac:dyDescent="0.25">
      <c r="A17" s="107" t="s">
        <v>623</v>
      </c>
      <c r="B17" s="73"/>
      <c r="C17" s="257">
        <f>SUM(C18:C20)</f>
        <v>144563946</v>
      </c>
      <c r="D17" s="257">
        <f t="shared" ref="D17:I17" si="3">SUM(D18:D20)</f>
        <v>0</v>
      </c>
      <c r="E17" s="257">
        <f t="shared" si="3"/>
        <v>0</v>
      </c>
      <c r="F17" s="257">
        <f t="shared" si="3"/>
        <v>0</v>
      </c>
      <c r="G17" s="257">
        <f t="shared" si="3"/>
        <v>0</v>
      </c>
      <c r="H17" s="257">
        <f t="shared" si="3"/>
        <v>0</v>
      </c>
      <c r="I17" s="257">
        <f t="shared" si="3"/>
        <v>-500000</v>
      </c>
      <c r="J17" s="257">
        <f>SUM(J18:J20)</f>
        <v>-500000</v>
      </c>
      <c r="K17" s="257">
        <f>SUM(K18:K20)</f>
        <v>144063946</v>
      </c>
      <c r="L17" s="257">
        <f>SUM(L18:L20)</f>
        <v>149385638.03</v>
      </c>
      <c r="M17" s="710">
        <f>SUM(M18:M20)</f>
        <v>157804383.12165001</v>
      </c>
      <c r="N17" s="128"/>
    </row>
    <row r="18" spans="1:14" ht="12.75" customHeight="1" x14ac:dyDescent="0.25">
      <c r="A18" s="108" t="s">
        <v>624</v>
      </c>
      <c r="B18" s="73"/>
      <c r="C18" s="132">
        <f>B2B!C77</f>
        <v>563555</v>
      </c>
      <c r="D18" s="132">
        <f>B2B!D77</f>
        <v>0</v>
      </c>
      <c r="E18" s="132">
        <f>B2B!E77</f>
        <v>0</v>
      </c>
      <c r="F18" s="132">
        <f>B2B!F77</f>
        <v>0</v>
      </c>
      <c r="G18" s="132">
        <f>B2B!G77</f>
        <v>0</v>
      </c>
      <c r="H18" s="132">
        <f>B2B!H77</f>
        <v>0</v>
      </c>
      <c r="I18" s="132">
        <f>B2B!I77</f>
        <v>0</v>
      </c>
      <c r="J18" s="171">
        <f>SUM(E18:I18)</f>
        <v>0</v>
      </c>
      <c r="K18" s="171">
        <f>IF(D18=0,C18+J18,D18+J18)</f>
        <v>563555</v>
      </c>
      <c r="L18" s="132">
        <f>B2B!L77</f>
        <v>594550.52500000002</v>
      </c>
      <c r="M18" s="133">
        <f>B2B!M77</f>
        <v>627250.80387499998</v>
      </c>
      <c r="N18" s="128"/>
    </row>
    <row r="19" spans="1:14" ht="12.75" customHeight="1" x14ac:dyDescent="0.25">
      <c r="A19" s="108" t="s">
        <v>625</v>
      </c>
      <c r="B19" s="73"/>
      <c r="C19" s="132">
        <f>B2B!C88</f>
        <v>144000391</v>
      </c>
      <c r="D19" s="132">
        <f>B2B!D88</f>
        <v>0</v>
      </c>
      <c r="E19" s="132">
        <f>B2B!E88</f>
        <v>0</v>
      </c>
      <c r="F19" s="132">
        <f>B2B!F88</f>
        <v>0</v>
      </c>
      <c r="G19" s="132">
        <f>B2B!G88</f>
        <v>0</v>
      </c>
      <c r="H19" s="132">
        <f>B2B!H88</f>
        <v>0</v>
      </c>
      <c r="I19" s="132">
        <f>B2B!I88</f>
        <v>-500000</v>
      </c>
      <c r="J19" s="171">
        <f>SUM(E19:I19)</f>
        <v>-500000</v>
      </c>
      <c r="K19" s="171">
        <f>IF(D19=0,C19+J19,D19+J19)</f>
        <v>143500391</v>
      </c>
      <c r="L19" s="132">
        <f>B2B!L88</f>
        <v>148791087.505</v>
      </c>
      <c r="M19" s="133">
        <f>B2B!M88</f>
        <v>157177132.31777501</v>
      </c>
      <c r="N19" s="128"/>
    </row>
    <row r="20" spans="1:14" ht="12.75" customHeight="1" x14ac:dyDescent="0.25">
      <c r="A20" s="108" t="s">
        <v>626</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627</v>
      </c>
      <c r="B21" s="73"/>
      <c r="C21" s="257">
        <f>SUM(C22:C25)</f>
        <v>575089000</v>
      </c>
      <c r="D21" s="257">
        <f t="shared" ref="D21:M21" si="4">SUM(D22:D25)</f>
        <v>0</v>
      </c>
      <c r="E21" s="257">
        <f t="shared" si="4"/>
        <v>0</v>
      </c>
      <c r="F21" s="257">
        <f t="shared" si="4"/>
        <v>0</v>
      </c>
      <c r="G21" s="257">
        <f t="shared" si="4"/>
        <v>0</v>
      </c>
      <c r="H21" s="257">
        <f t="shared" si="4"/>
        <v>0</v>
      </c>
      <c r="I21" s="257">
        <f t="shared" si="4"/>
        <v>0</v>
      </c>
      <c r="J21" s="257">
        <f t="shared" si="4"/>
        <v>0</v>
      </c>
      <c r="K21" s="257">
        <f t="shared" si="4"/>
        <v>575089000</v>
      </c>
      <c r="L21" s="257">
        <f t="shared" si="4"/>
        <v>598031065</v>
      </c>
      <c r="M21" s="710">
        <f t="shared" si="4"/>
        <v>626387773.57499993</v>
      </c>
      <c r="N21" s="128"/>
    </row>
    <row r="22" spans="1:14" ht="12.75" customHeight="1" x14ac:dyDescent="0.25">
      <c r="A22" s="108" t="s">
        <v>1503</v>
      </c>
      <c r="B22" s="73"/>
      <c r="C22" s="132">
        <f>B2B!C101</f>
        <v>517347000</v>
      </c>
      <c r="D22" s="132">
        <f>B2B!D101</f>
        <v>0</v>
      </c>
      <c r="E22" s="132">
        <f>B2B!E101</f>
        <v>0</v>
      </c>
      <c r="F22" s="132">
        <f>B2B!F101</f>
        <v>0</v>
      </c>
      <c r="G22" s="132">
        <f>B2B!G101</f>
        <v>0</v>
      </c>
      <c r="H22" s="132">
        <f>B2B!H101</f>
        <v>0</v>
      </c>
      <c r="I22" s="132">
        <f>B2B!I101</f>
        <v>0</v>
      </c>
      <c r="J22" s="171">
        <f>SUM(E22:I22)</f>
        <v>0</v>
      </c>
      <c r="K22" s="171">
        <f>IF(D22=0,C22+J22,D22+J22)</f>
        <v>517347000</v>
      </c>
      <c r="L22" s="132">
        <f>B2B!L101</f>
        <v>544925305</v>
      </c>
      <c r="M22" s="133">
        <f>B2B!M101</f>
        <v>570516196.77499998</v>
      </c>
      <c r="N22" s="128"/>
    </row>
    <row r="23" spans="1:14" ht="12.75" customHeight="1" x14ac:dyDescent="0.25">
      <c r="A23" s="108" t="s">
        <v>1504</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630</v>
      </c>
      <c r="B24" s="73"/>
      <c r="C24" s="791">
        <f>B2B!C109</f>
        <v>0</v>
      </c>
      <c r="D24" s="791">
        <f>B2B!D109</f>
        <v>0</v>
      </c>
      <c r="E24" s="132">
        <f>B2B!E109</f>
        <v>0</v>
      </c>
      <c r="F24" s="132">
        <f>B2B!F109</f>
        <v>0</v>
      </c>
      <c r="G24" s="132">
        <f>B2B!G109</f>
        <v>0</v>
      </c>
      <c r="H24" s="791">
        <f>B2B!H109</f>
        <v>0</v>
      </c>
      <c r="I24" s="791">
        <f>B2B!I109</f>
        <v>0</v>
      </c>
      <c r="J24" s="171">
        <f>SUM(E24:I24)</f>
        <v>0</v>
      </c>
      <c r="K24" s="171">
        <f>IF(D24=0,C24+J24,D24+J24)</f>
        <v>0</v>
      </c>
      <c r="L24" s="791">
        <f>B2B!L109</f>
        <v>0</v>
      </c>
      <c r="M24" s="792">
        <f>B2B!M109</f>
        <v>0</v>
      </c>
      <c r="N24" s="128"/>
    </row>
    <row r="25" spans="1:14" ht="12.75" customHeight="1" x14ac:dyDescent="0.25">
      <c r="A25" s="108" t="s">
        <v>631</v>
      </c>
      <c r="B25" s="73"/>
      <c r="C25" s="132">
        <f>B2B!C114</f>
        <v>57742000</v>
      </c>
      <c r="D25" s="132">
        <f>B2B!D114</f>
        <v>0</v>
      </c>
      <c r="E25" s="132">
        <f>B2B!E114</f>
        <v>0</v>
      </c>
      <c r="F25" s="132">
        <f>B2B!F114</f>
        <v>0</v>
      </c>
      <c r="G25" s="132">
        <f>B2B!G114</f>
        <v>0</v>
      </c>
      <c r="H25" s="132">
        <f>B2B!H114</f>
        <v>0</v>
      </c>
      <c r="I25" s="132">
        <f>B2B!I114</f>
        <v>0</v>
      </c>
      <c r="J25" s="171">
        <f>SUM(E25:I25)</f>
        <v>0</v>
      </c>
      <c r="K25" s="171">
        <f>IF(D25=0,C25+J25,D25+J25)</f>
        <v>57742000</v>
      </c>
      <c r="L25" s="132">
        <f>B2B!L114</f>
        <v>53105760</v>
      </c>
      <c r="M25" s="133">
        <f>B2B!M114</f>
        <v>55871576.799999997</v>
      </c>
      <c r="N25" s="128"/>
    </row>
    <row r="26" spans="1:14" ht="12.75" customHeight="1" x14ac:dyDescent="0.25">
      <c r="A26" s="107" t="s">
        <v>632</v>
      </c>
      <c r="B26" s="73"/>
      <c r="C26" s="257">
        <f>B2B!C119</f>
        <v>0</v>
      </c>
      <c r="D26" s="257">
        <f>B2B!D119</f>
        <v>0</v>
      </c>
      <c r="E26" s="257">
        <f>B2B!E119</f>
        <v>0</v>
      </c>
      <c r="F26" s="257">
        <f>B2B!F119</f>
        <v>0</v>
      </c>
      <c r="G26" s="257">
        <f>B2B!G119</f>
        <v>0</v>
      </c>
      <c r="H26" s="257">
        <f>B2B!H119</f>
        <v>0</v>
      </c>
      <c r="I26" s="257">
        <f>B2B!I119</f>
        <v>0</v>
      </c>
      <c r="J26" s="171">
        <f>SUM(E26:I26)</f>
        <v>0</v>
      </c>
      <c r="K26" s="704">
        <f>IF(D26=0,C26+J26,D26+J26)</f>
        <v>0</v>
      </c>
      <c r="L26" s="257">
        <f>B2B!L119</f>
        <v>0</v>
      </c>
      <c r="M26" s="710">
        <f>B2B!M119</f>
        <v>0</v>
      </c>
      <c r="N26" s="128"/>
    </row>
    <row r="27" spans="1:14" ht="12.75" customHeight="1" x14ac:dyDescent="0.25">
      <c r="A27" s="1238" t="str">
        <f>"Total "&amp;A6</f>
        <v>Total Revenue - Functional</v>
      </c>
      <c r="B27" s="79">
        <v>2</v>
      </c>
      <c r="C27" s="688">
        <f>C7+C11+C17+C21+C26</f>
        <v>1176787573</v>
      </c>
      <c r="D27" s="689">
        <f t="shared" ref="D27:M27" si="5">D7+D11+D17+D21+D26</f>
        <v>0</v>
      </c>
      <c r="E27" s="689">
        <f t="shared" si="5"/>
        <v>0</v>
      </c>
      <c r="F27" s="689">
        <f t="shared" si="5"/>
        <v>0</v>
      </c>
      <c r="G27" s="689">
        <f t="shared" si="5"/>
        <v>0</v>
      </c>
      <c r="H27" s="689">
        <f t="shared" si="5"/>
        <v>0</v>
      </c>
      <c r="I27" s="689">
        <f t="shared" si="5"/>
        <v>-500000</v>
      </c>
      <c r="J27" s="689">
        <f t="shared" si="5"/>
        <v>-500000</v>
      </c>
      <c r="K27" s="689">
        <f t="shared" si="5"/>
        <v>1176287573</v>
      </c>
      <c r="L27" s="689">
        <f t="shared" si="5"/>
        <v>1250039839.5150001</v>
      </c>
      <c r="M27" s="690">
        <f t="shared" si="5"/>
        <v>1328249600.6883249</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1583</v>
      </c>
      <c r="B29" s="115"/>
      <c r="C29" s="74"/>
      <c r="D29" s="75"/>
      <c r="E29" s="75"/>
      <c r="F29" s="75"/>
      <c r="G29" s="75"/>
      <c r="H29" s="75"/>
      <c r="I29" s="75"/>
      <c r="J29" s="75"/>
      <c r="K29" s="75"/>
      <c r="L29" s="75"/>
      <c r="M29" s="76"/>
      <c r="N29" s="128"/>
    </row>
    <row r="30" spans="1:14" ht="12.75" customHeight="1" x14ac:dyDescent="0.25">
      <c r="A30" s="107" t="s">
        <v>615</v>
      </c>
      <c r="B30" s="73"/>
      <c r="C30" s="257">
        <f>SUM(C31:C33)</f>
        <v>242415389.46000001</v>
      </c>
      <c r="D30" s="257">
        <f t="shared" ref="D30:I30" si="6">SUM(D31:D33)</f>
        <v>0</v>
      </c>
      <c r="E30" s="257">
        <f t="shared" si="6"/>
        <v>0</v>
      </c>
      <c r="F30" s="257">
        <f t="shared" si="6"/>
        <v>0</v>
      </c>
      <c r="G30" s="257">
        <f t="shared" si="6"/>
        <v>0</v>
      </c>
      <c r="H30" s="257">
        <f t="shared" si="6"/>
        <v>0</v>
      </c>
      <c r="I30" s="257">
        <f t="shared" si="6"/>
        <v>13261936</v>
      </c>
      <c r="J30" s="257">
        <f>SUM(J31:J33)</f>
        <v>13261936</v>
      </c>
      <c r="K30" s="257">
        <f>SUM(K31:K33)</f>
        <v>255677325.46000001</v>
      </c>
      <c r="L30" s="257">
        <f>SUM(L31:L33)</f>
        <v>259558513.29909989</v>
      </c>
      <c r="M30" s="710">
        <f>SUM(M31:M33)</f>
        <v>273703109.80055046</v>
      </c>
      <c r="N30" s="128"/>
    </row>
    <row r="31" spans="1:14" ht="12.75" customHeight="1" x14ac:dyDescent="0.25">
      <c r="A31" s="108" t="s">
        <v>616</v>
      </c>
      <c r="B31" s="73"/>
      <c r="C31" s="132">
        <f>B2B!C130</f>
        <v>43758386.090000004</v>
      </c>
      <c r="D31" s="132">
        <f>B2B!D130</f>
        <v>0</v>
      </c>
      <c r="E31" s="132">
        <f>B2B!E130</f>
        <v>0</v>
      </c>
      <c r="F31" s="132">
        <f>B2B!F130</f>
        <v>0</v>
      </c>
      <c r="G31" s="132">
        <f>B2B!G130</f>
        <v>0</v>
      </c>
      <c r="H31" s="132">
        <f>B2B!H130</f>
        <v>0</v>
      </c>
      <c r="I31" s="132">
        <f>B2B!I130</f>
        <v>0</v>
      </c>
      <c r="J31" s="171">
        <f>SUM(E31:I31)</f>
        <v>0</v>
      </c>
      <c r="K31" s="171">
        <f>IF(D31=0,C31+J31,D31+J31)</f>
        <v>43758386.090000004</v>
      </c>
      <c r="L31" s="132">
        <f>B2B!L130</f>
        <v>46161473.264949992</v>
      </c>
      <c r="M31" s="133">
        <f>B2B!M130</f>
        <v>48676490.234522246</v>
      </c>
      <c r="N31" s="128"/>
    </row>
    <row r="32" spans="1:14" ht="12.75" customHeight="1" x14ac:dyDescent="0.25">
      <c r="A32" s="108" t="s">
        <v>1501</v>
      </c>
      <c r="B32" s="73"/>
      <c r="C32" s="791">
        <f>B2B!C133</f>
        <v>192969249.37</v>
      </c>
      <c r="D32" s="791">
        <f>B2B!D133</f>
        <v>0</v>
      </c>
      <c r="E32" s="791">
        <f>B2B!E133</f>
        <v>0</v>
      </c>
      <c r="F32" s="791">
        <f>B2B!F133</f>
        <v>0</v>
      </c>
      <c r="G32" s="791">
        <f>B2B!G133</f>
        <v>0</v>
      </c>
      <c r="H32" s="791">
        <f>B2B!H133</f>
        <v>0</v>
      </c>
      <c r="I32" s="791">
        <f>B2B!I133</f>
        <v>13261936</v>
      </c>
      <c r="J32" s="171">
        <f>SUM(E32:I32)</f>
        <v>13261936</v>
      </c>
      <c r="K32" s="171">
        <f>IF(D32=0,C32+J32,D32+J32)</f>
        <v>206231185.37</v>
      </c>
      <c r="L32" s="791">
        <f>B2B!L133</f>
        <v>207397354.1391499</v>
      </c>
      <c r="M32" s="792">
        <f>B2B!M133</f>
        <v>218695262.52180323</v>
      </c>
      <c r="N32" s="128"/>
    </row>
    <row r="33" spans="1:14" ht="12.75" customHeight="1" x14ac:dyDescent="0.25">
      <c r="A33" s="108" t="s">
        <v>1502</v>
      </c>
      <c r="B33" s="73"/>
      <c r="C33" s="132">
        <f>B2B!C147</f>
        <v>5687754</v>
      </c>
      <c r="D33" s="132">
        <f>B2B!D147</f>
        <v>0</v>
      </c>
      <c r="E33" s="132">
        <f>B2B!E147</f>
        <v>0</v>
      </c>
      <c r="F33" s="132">
        <f>B2B!F147</f>
        <v>0</v>
      </c>
      <c r="G33" s="132">
        <f>B2B!G147</f>
        <v>0</v>
      </c>
      <c r="H33" s="132">
        <f>B2B!H147</f>
        <v>0</v>
      </c>
      <c r="I33" s="132">
        <f>B2B!I147</f>
        <v>0</v>
      </c>
      <c r="J33" s="171">
        <f>SUM(E33:I33)</f>
        <v>0</v>
      </c>
      <c r="K33" s="171">
        <f>IF(D33=0,C33+J33,D33+J33)</f>
        <v>5687754</v>
      </c>
      <c r="L33" s="132">
        <f>B2B!L147</f>
        <v>5999685.8949999986</v>
      </c>
      <c r="M33" s="133">
        <f>B2B!M147</f>
        <v>6331357.0442249998</v>
      </c>
      <c r="N33" s="128"/>
    </row>
    <row r="34" spans="1:14" ht="12.75" customHeight="1" x14ac:dyDescent="0.25">
      <c r="A34" s="107" t="s">
        <v>617</v>
      </c>
      <c r="B34" s="73"/>
      <c r="C34" s="257">
        <f>SUM(C35:C39)</f>
        <v>100121389</v>
      </c>
      <c r="D34" s="257">
        <f t="shared" ref="D34:I34" si="7">SUM(D35:D39)</f>
        <v>0</v>
      </c>
      <c r="E34" s="257">
        <f t="shared" si="7"/>
        <v>0</v>
      </c>
      <c r="F34" s="257">
        <f t="shared" si="7"/>
        <v>0</v>
      </c>
      <c r="G34" s="257">
        <f t="shared" si="7"/>
        <v>0</v>
      </c>
      <c r="H34" s="257">
        <f t="shared" si="7"/>
        <v>0</v>
      </c>
      <c r="I34" s="257">
        <f t="shared" si="7"/>
        <v>300000</v>
      </c>
      <c r="J34" s="257">
        <f>SUM(J35:J39)</f>
        <v>300000</v>
      </c>
      <c r="K34" s="257">
        <f>SUM(K35:K39)</f>
        <v>100421389</v>
      </c>
      <c r="L34" s="257">
        <f>SUM(L35:L39)</f>
        <v>105271688.43000001</v>
      </c>
      <c r="M34" s="710">
        <f>SUM(M35:M39)</f>
        <v>110935597.32865003</v>
      </c>
      <c r="N34" s="128"/>
    </row>
    <row r="35" spans="1:14" ht="12.75" customHeight="1" x14ac:dyDescent="0.25">
      <c r="A35" s="108" t="s">
        <v>618</v>
      </c>
      <c r="B35" s="73"/>
      <c r="C35" s="132">
        <f>B2B!C150</f>
        <v>11661675</v>
      </c>
      <c r="D35" s="132">
        <f>B2B!D150</f>
        <v>0</v>
      </c>
      <c r="E35" s="132">
        <f>B2B!E150</f>
        <v>0</v>
      </c>
      <c r="F35" s="132">
        <f>B2B!F150</f>
        <v>0</v>
      </c>
      <c r="G35" s="132">
        <f>B2B!G150</f>
        <v>0</v>
      </c>
      <c r="H35" s="132">
        <f>B2B!H150</f>
        <v>0</v>
      </c>
      <c r="I35" s="132">
        <f>B2B!I150</f>
        <v>0</v>
      </c>
      <c r="J35" s="171">
        <f>SUM(E35:I35)</f>
        <v>0</v>
      </c>
      <c r="K35" s="171">
        <f>IF(D35=0,C35+J35,D35+J35)</f>
        <v>11661675</v>
      </c>
      <c r="L35" s="132">
        <f>B2B!L150</f>
        <v>12292289.270000001</v>
      </c>
      <c r="M35" s="133">
        <f>B2B!M150</f>
        <v>12969149.32485</v>
      </c>
      <c r="N35" s="128"/>
    </row>
    <row r="36" spans="1:14" ht="12.75" customHeight="1" x14ac:dyDescent="0.25">
      <c r="A36" s="108" t="s">
        <v>619</v>
      </c>
      <c r="B36" s="73"/>
      <c r="C36" s="132">
        <f>B2B!C172</f>
        <v>29826254.670000002</v>
      </c>
      <c r="D36" s="132">
        <f>B2B!D172</f>
        <v>0</v>
      </c>
      <c r="E36" s="132">
        <f>B2B!E172</f>
        <v>0</v>
      </c>
      <c r="F36" s="132">
        <f>B2B!F172</f>
        <v>0</v>
      </c>
      <c r="G36" s="132">
        <f>B2B!G172</f>
        <v>0</v>
      </c>
      <c r="H36" s="132">
        <f>B2B!H172</f>
        <v>0</v>
      </c>
      <c r="I36" s="132">
        <f>B2B!I172</f>
        <v>0</v>
      </c>
      <c r="J36" s="171">
        <f>SUM(E36:I36)</f>
        <v>0</v>
      </c>
      <c r="K36" s="171">
        <f>IF(D36=0,C36+J36,D36+J36)</f>
        <v>29826254.670000002</v>
      </c>
      <c r="L36" s="132">
        <f>B2B!L172</f>
        <v>31386104.911850002</v>
      </c>
      <c r="M36" s="133">
        <f>B2B!M172</f>
        <v>33149803.917001761</v>
      </c>
      <c r="N36" s="128"/>
    </row>
    <row r="37" spans="1:14" ht="12.75" customHeight="1" x14ac:dyDescent="0.25">
      <c r="A37" s="108" t="s">
        <v>620</v>
      </c>
      <c r="B37" s="73"/>
      <c r="C37" s="132">
        <f>B2B!C178</f>
        <v>28025248</v>
      </c>
      <c r="D37" s="132">
        <f>B2B!D178</f>
        <v>0</v>
      </c>
      <c r="E37" s="132">
        <f>B2B!E178</f>
        <v>0</v>
      </c>
      <c r="F37" s="132">
        <f>B2B!F178</f>
        <v>0</v>
      </c>
      <c r="G37" s="132">
        <f>B2B!G178</f>
        <v>0</v>
      </c>
      <c r="H37" s="132">
        <f>B2B!H178</f>
        <v>0</v>
      </c>
      <c r="I37" s="132">
        <f>B2B!I178</f>
        <v>0</v>
      </c>
      <c r="J37" s="171">
        <f>SUM(E37:I37)</f>
        <v>0</v>
      </c>
      <c r="K37" s="171">
        <f>IF(D37=0,C37+J37,D37+J37)</f>
        <v>28025248</v>
      </c>
      <c r="L37" s="132">
        <f>B2B!L178</f>
        <v>29474804.68</v>
      </c>
      <c r="M37" s="133">
        <f>B2B!M178</f>
        <v>30980817.977400001</v>
      </c>
      <c r="N37" s="128"/>
    </row>
    <row r="38" spans="1:14" ht="12.75" customHeight="1" x14ac:dyDescent="0.25">
      <c r="A38" s="108" t="s">
        <v>621</v>
      </c>
      <c r="B38" s="73"/>
      <c r="C38" s="132">
        <f>B2B!C187</f>
        <v>18497726.329999998</v>
      </c>
      <c r="D38" s="132">
        <f>B2B!D187</f>
        <v>0</v>
      </c>
      <c r="E38" s="132">
        <f>B2B!E187</f>
        <v>0</v>
      </c>
      <c r="F38" s="132">
        <f>B2B!F187</f>
        <v>0</v>
      </c>
      <c r="G38" s="132">
        <f>B2B!G187</f>
        <v>0</v>
      </c>
      <c r="H38" s="132">
        <f>B2B!H187</f>
        <v>0</v>
      </c>
      <c r="I38" s="132">
        <f>B2B!I187</f>
        <v>300000</v>
      </c>
      <c r="J38" s="171">
        <f>SUM(E38:I38)</f>
        <v>300000</v>
      </c>
      <c r="K38" s="171">
        <f>IF(D38=0,C38+J38,D38+J38)</f>
        <v>18797726.329999998</v>
      </c>
      <c r="L38" s="132">
        <f>B2B!L187</f>
        <v>19368824.323150001</v>
      </c>
      <c r="M38" s="133">
        <f>B2B!M187</f>
        <v>20382973.705923256</v>
      </c>
      <c r="N38" s="128"/>
    </row>
    <row r="39" spans="1:14" ht="12.75" customHeight="1" x14ac:dyDescent="0.25">
      <c r="A39" s="108" t="s">
        <v>622</v>
      </c>
      <c r="B39" s="73"/>
      <c r="C39" s="791">
        <f>B2B!C190</f>
        <v>12110485</v>
      </c>
      <c r="D39" s="791">
        <f>B2B!D190</f>
        <v>0</v>
      </c>
      <c r="E39" s="791">
        <f>B2B!E190</f>
        <v>0</v>
      </c>
      <c r="F39" s="791">
        <f>B2B!F190</f>
        <v>0</v>
      </c>
      <c r="G39" s="791">
        <f>B2B!G190</f>
        <v>0</v>
      </c>
      <c r="H39" s="791">
        <f>B2B!H190</f>
        <v>0</v>
      </c>
      <c r="I39" s="791">
        <f>B2B!I190</f>
        <v>0</v>
      </c>
      <c r="J39" s="171">
        <f>SUM(E39:I39)</f>
        <v>0</v>
      </c>
      <c r="K39" s="171">
        <f>IF(D39=0,C39+J39,D39+J39)</f>
        <v>12110485</v>
      </c>
      <c r="L39" s="791">
        <f>B2B!L190</f>
        <v>12749665.244999999</v>
      </c>
      <c r="M39" s="792">
        <f>B2B!M190</f>
        <v>13452852.403475003</v>
      </c>
      <c r="N39" s="128"/>
    </row>
    <row r="40" spans="1:14" ht="12.75" customHeight="1" x14ac:dyDescent="0.25">
      <c r="A40" s="107" t="s">
        <v>623</v>
      </c>
      <c r="B40" s="73"/>
      <c r="C40" s="257">
        <f>SUM(C41:C43)</f>
        <v>226364347.51000002</v>
      </c>
      <c r="D40" s="257">
        <f t="shared" ref="D40:I40" si="8">SUM(D41:D43)</f>
        <v>0</v>
      </c>
      <c r="E40" s="257">
        <f t="shared" si="8"/>
        <v>0</v>
      </c>
      <c r="F40" s="257">
        <f t="shared" si="8"/>
        <v>0</v>
      </c>
      <c r="G40" s="257">
        <f t="shared" si="8"/>
        <v>0</v>
      </c>
      <c r="H40" s="257">
        <f t="shared" si="8"/>
        <v>0</v>
      </c>
      <c r="I40" s="257">
        <f t="shared" si="8"/>
        <v>3699687</v>
      </c>
      <c r="J40" s="257">
        <f>SUM(J41:J43)</f>
        <v>3699687</v>
      </c>
      <c r="K40" s="257">
        <f>SUM(K41:K43)</f>
        <v>230064034.51000002</v>
      </c>
      <c r="L40" s="257">
        <f>SUM(L41:L43)</f>
        <v>233799077.56304994</v>
      </c>
      <c r="M40" s="710">
        <f>SUM(M41:M43)</f>
        <v>242124933.0440177</v>
      </c>
      <c r="N40" s="128"/>
    </row>
    <row r="41" spans="1:14" ht="12.75" customHeight="1" x14ac:dyDescent="0.25">
      <c r="A41" s="108" t="s">
        <v>624</v>
      </c>
      <c r="B41" s="73"/>
      <c r="C41" s="132">
        <f>B2B!C199</f>
        <v>27944056.59</v>
      </c>
      <c r="D41" s="132">
        <f>B2B!D199</f>
        <v>0</v>
      </c>
      <c r="E41" s="132">
        <f>B2B!E199</f>
        <v>0</v>
      </c>
      <c r="F41" s="132">
        <f>B2B!F199</f>
        <v>0</v>
      </c>
      <c r="G41" s="132">
        <f>B2B!G199</f>
        <v>0</v>
      </c>
      <c r="H41" s="132">
        <f>B2B!H199</f>
        <v>0</v>
      </c>
      <c r="I41" s="132">
        <f>B2B!I199</f>
        <v>-150000</v>
      </c>
      <c r="J41" s="171">
        <f>SUM(E41:I41)</f>
        <v>-150000</v>
      </c>
      <c r="K41" s="171">
        <f>IF(D41=0,C41+J41,D41+J41)</f>
        <v>27794056.59</v>
      </c>
      <c r="L41" s="132">
        <f>B2B!L199</f>
        <v>29470781.82244999</v>
      </c>
      <c r="M41" s="133">
        <f>B2B!M199</f>
        <v>31119192.942684736</v>
      </c>
      <c r="N41" s="128"/>
    </row>
    <row r="42" spans="1:14" ht="12.75" customHeight="1" x14ac:dyDescent="0.25">
      <c r="A42" s="108" t="s">
        <v>625</v>
      </c>
      <c r="B42" s="73"/>
      <c r="C42" s="132">
        <f>B2B!C210</f>
        <v>198420290.92000002</v>
      </c>
      <c r="D42" s="132">
        <f>B2B!D210</f>
        <v>0</v>
      </c>
      <c r="E42" s="132">
        <f>B2B!E210</f>
        <v>0</v>
      </c>
      <c r="F42" s="132">
        <f>B2B!F210</f>
        <v>0</v>
      </c>
      <c r="G42" s="132">
        <f>B2B!G210</f>
        <v>0</v>
      </c>
      <c r="H42" s="132">
        <f>B2B!H210</f>
        <v>0</v>
      </c>
      <c r="I42" s="132">
        <f>B2B!I210</f>
        <v>3849687</v>
      </c>
      <c r="J42" s="171">
        <f>SUM(E42:I42)</f>
        <v>3849687</v>
      </c>
      <c r="K42" s="171">
        <f>IF(D42=0,C42+J42,D42+J42)</f>
        <v>202269977.92000002</v>
      </c>
      <c r="L42" s="132">
        <f>B2B!L210</f>
        <v>204328295.74059996</v>
      </c>
      <c r="M42" s="133">
        <f>B2B!M210</f>
        <v>211005740.10133296</v>
      </c>
      <c r="N42" s="128"/>
    </row>
    <row r="43" spans="1:14" ht="12.75" customHeight="1" x14ac:dyDescent="0.25">
      <c r="A43" s="108" t="s">
        <v>626</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627</v>
      </c>
      <c r="B44" s="73"/>
      <c r="C44" s="257">
        <f>SUM(C45:C48)</f>
        <v>593569995.11000001</v>
      </c>
      <c r="D44" s="257">
        <f t="shared" ref="D44:M44" si="9">SUM(D45:D48)</f>
        <v>0</v>
      </c>
      <c r="E44" s="257">
        <f t="shared" si="9"/>
        <v>0</v>
      </c>
      <c r="F44" s="257">
        <f t="shared" si="9"/>
        <v>0</v>
      </c>
      <c r="G44" s="257">
        <f t="shared" si="9"/>
        <v>0</v>
      </c>
      <c r="H44" s="257">
        <f t="shared" si="9"/>
        <v>0</v>
      </c>
      <c r="I44" s="257">
        <f t="shared" si="9"/>
        <v>4406872</v>
      </c>
      <c r="J44" s="257">
        <f t="shared" si="9"/>
        <v>4406872</v>
      </c>
      <c r="K44" s="257">
        <f t="shared" si="9"/>
        <v>597976867.11000001</v>
      </c>
      <c r="L44" s="257">
        <f t="shared" si="9"/>
        <v>621504787.33605003</v>
      </c>
      <c r="M44" s="710">
        <f t="shared" si="9"/>
        <v>652058810.80453277</v>
      </c>
      <c r="N44" s="128"/>
    </row>
    <row r="45" spans="1:14" ht="12.75" customHeight="1" x14ac:dyDescent="0.25">
      <c r="A45" s="108" t="s">
        <v>1503</v>
      </c>
      <c r="B45" s="73"/>
      <c r="C45" s="132">
        <f>B2B!C223</f>
        <v>506151608.48000002</v>
      </c>
      <c r="D45" s="132">
        <f>B2B!D223</f>
        <v>0</v>
      </c>
      <c r="E45" s="132">
        <f>B2B!E223</f>
        <v>0</v>
      </c>
      <c r="F45" s="132">
        <f>B2B!F223</f>
        <v>0</v>
      </c>
      <c r="G45" s="132">
        <f>B2B!G223</f>
        <v>0</v>
      </c>
      <c r="H45" s="132">
        <f>B2B!H223</f>
        <v>0</v>
      </c>
      <c r="I45" s="132">
        <f>B2B!I223</f>
        <v>4406872</v>
      </c>
      <c r="J45" s="171">
        <f>SUM(E45:I45)</f>
        <v>4406872</v>
      </c>
      <c r="K45" s="171">
        <f>IF(D45=0,C45+J45,D45+J45)</f>
        <v>510558480.48000002</v>
      </c>
      <c r="L45" s="132">
        <f>B2B!L223</f>
        <v>531191520.11140001</v>
      </c>
      <c r="M45" s="133">
        <f>B2B!M223</f>
        <v>557508799.13252699</v>
      </c>
      <c r="N45" s="128"/>
    </row>
    <row r="46" spans="1:14" ht="12.75" customHeight="1" x14ac:dyDescent="0.25">
      <c r="A46" s="108" t="s">
        <v>1504</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630</v>
      </c>
      <c r="B47" s="73"/>
      <c r="C47" s="791">
        <f>B2B!C231</f>
        <v>6434937.2599999998</v>
      </c>
      <c r="D47" s="791">
        <f>B2B!D231</f>
        <v>0</v>
      </c>
      <c r="E47" s="132">
        <f>B2B!E231</f>
        <v>0</v>
      </c>
      <c r="F47" s="132">
        <f>B2B!F231</f>
        <v>0</v>
      </c>
      <c r="G47" s="132">
        <f>B2B!G231</f>
        <v>0</v>
      </c>
      <c r="H47" s="791">
        <f>B2B!H231</f>
        <v>0</v>
      </c>
      <c r="I47" s="791">
        <f>B2B!I231</f>
        <v>0</v>
      </c>
      <c r="J47" s="171">
        <f>SUM(E47:I47)</f>
        <v>0</v>
      </c>
      <c r="K47" s="171">
        <f>IF(D47=0,C47+J47,D47+J47)</f>
        <v>6434937.2599999998</v>
      </c>
      <c r="L47" s="791">
        <f>B2B!L231</f>
        <v>6786273.8642999995</v>
      </c>
      <c r="M47" s="792">
        <f>B2B!M231</f>
        <v>7302671.9818365006</v>
      </c>
      <c r="N47" s="128"/>
    </row>
    <row r="48" spans="1:14" ht="12.75" customHeight="1" x14ac:dyDescent="0.25">
      <c r="A48" s="108" t="s">
        <v>631</v>
      </c>
      <c r="B48" s="73"/>
      <c r="C48" s="132">
        <f>B2B!C236</f>
        <v>80983449.370000005</v>
      </c>
      <c r="D48" s="132">
        <f>B2B!D236</f>
        <v>0</v>
      </c>
      <c r="E48" s="132">
        <f>B2B!E236</f>
        <v>0</v>
      </c>
      <c r="F48" s="132">
        <f>B2B!F236</f>
        <v>0</v>
      </c>
      <c r="G48" s="132">
        <f>B2B!G236</f>
        <v>0</v>
      </c>
      <c r="H48" s="132">
        <f>B2B!H236</f>
        <v>0</v>
      </c>
      <c r="I48" s="132">
        <f>B2B!I236</f>
        <v>0</v>
      </c>
      <c r="J48" s="171">
        <f>SUM(E48:I48)</f>
        <v>0</v>
      </c>
      <c r="K48" s="171">
        <f>IF(D48=0,C48+J48,D48+J48)</f>
        <v>80983449.370000005</v>
      </c>
      <c r="L48" s="132">
        <f>B2B!L236</f>
        <v>83526993.360349983</v>
      </c>
      <c r="M48" s="133">
        <f>B2B!M236</f>
        <v>87247339.69016923</v>
      </c>
      <c r="N48" s="128"/>
    </row>
    <row r="49" spans="1:14" ht="12.75" customHeight="1" x14ac:dyDescent="0.25">
      <c r="A49" s="107" t="s">
        <v>632</v>
      </c>
      <c r="B49" s="73"/>
      <c r="C49" s="257">
        <f>B2B!C241</f>
        <v>0</v>
      </c>
      <c r="D49" s="257">
        <f>B2B!D241</f>
        <v>0</v>
      </c>
      <c r="E49" s="257">
        <f>B2B!E241</f>
        <v>0</v>
      </c>
      <c r="F49" s="257">
        <f>B2B!F241</f>
        <v>0</v>
      </c>
      <c r="G49" s="257">
        <f>B2B!G241</f>
        <v>0</v>
      </c>
      <c r="H49" s="257">
        <f>B2B!H241</f>
        <v>0</v>
      </c>
      <c r="I49" s="257">
        <f>B2B!I241</f>
        <v>0</v>
      </c>
      <c r="J49" s="171">
        <f>SUM(E49:I49)</f>
        <v>0</v>
      </c>
      <c r="K49" s="704">
        <f>IF(D49=0,C49+J49,D49+J49)</f>
        <v>0</v>
      </c>
      <c r="L49" s="257">
        <f>B2B!L241</f>
        <v>0</v>
      </c>
      <c r="M49" s="882">
        <f>B2B!M241</f>
        <v>0</v>
      </c>
      <c r="N49" s="128"/>
    </row>
    <row r="50" spans="1:14" ht="12.75" customHeight="1" x14ac:dyDescent="0.25">
      <c r="A50" s="1238" t="str">
        <f>"Total "&amp;A29</f>
        <v>Total Expenditure - Functional</v>
      </c>
      <c r="B50" s="79">
        <v>3</v>
      </c>
      <c r="C50" s="691">
        <f>C30+C34+C40+C44+C49</f>
        <v>1162471121.0799999</v>
      </c>
      <c r="D50" s="689">
        <f t="shared" ref="D50:M50" si="10">D30+D34+D40+D44+D49</f>
        <v>0</v>
      </c>
      <c r="E50" s="689">
        <f t="shared" si="10"/>
        <v>0</v>
      </c>
      <c r="F50" s="689">
        <f t="shared" si="10"/>
        <v>0</v>
      </c>
      <c r="G50" s="689">
        <f t="shared" si="10"/>
        <v>0</v>
      </c>
      <c r="H50" s="689">
        <f t="shared" si="10"/>
        <v>0</v>
      </c>
      <c r="I50" s="689">
        <f t="shared" si="10"/>
        <v>21668495</v>
      </c>
      <c r="J50" s="689">
        <f t="shared" si="10"/>
        <v>21668495</v>
      </c>
      <c r="K50" s="689">
        <f t="shared" si="10"/>
        <v>1184139616.0799999</v>
      </c>
      <c r="L50" s="689">
        <f t="shared" si="10"/>
        <v>1220134066.6281998</v>
      </c>
      <c r="M50" s="690">
        <f t="shared" si="10"/>
        <v>1278822450.9777508</v>
      </c>
      <c r="N50" s="128"/>
    </row>
    <row r="51" spans="1:14" ht="12.75" customHeight="1" x14ac:dyDescent="0.25">
      <c r="A51" s="87" t="s">
        <v>575</v>
      </c>
      <c r="B51" s="88"/>
      <c r="C51" s="116">
        <f t="shared" ref="C51:M51" si="11">C27-C50</f>
        <v>14316451.920000076</v>
      </c>
      <c r="D51" s="117">
        <f t="shared" si="11"/>
        <v>0</v>
      </c>
      <c r="E51" s="117">
        <f t="shared" si="11"/>
        <v>0</v>
      </c>
      <c r="F51" s="117">
        <f t="shared" si="11"/>
        <v>0</v>
      </c>
      <c r="G51" s="117">
        <f t="shared" si="11"/>
        <v>0</v>
      </c>
      <c r="H51" s="117">
        <f t="shared" si="11"/>
        <v>0</v>
      </c>
      <c r="I51" s="117">
        <f t="shared" si="11"/>
        <v>-22168495</v>
      </c>
      <c r="J51" s="117">
        <f t="shared" si="11"/>
        <v>-22168495</v>
      </c>
      <c r="K51" s="117">
        <f t="shared" si="11"/>
        <v>-7852043.0799999237</v>
      </c>
      <c r="L51" s="117">
        <f t="shared" si="11"/>
        <v>29905772.886800289</v>
      </c>
      <c r="M51" s="118">
        <f t="shared" si="11"/>
        <v>49427149.71057415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633</v>
      </c>
      <c r="B53" s="93"/>
      <c r="C53" s="96"/>
      <c r="D53" s="96"/>
      <c r="E53" s="96"/>
      <c r="F53" s="96"/>
      <c r="G53" s="96"/>
      <c r="H53" s="96"/>
      <c r="I53" s="96"/>
      <c r="J53" s="96"/>
      <c r="K53" s="96"/>
      <c r="L53" s="96"/>
      <c r="M53" s="96"/>
    </row>
    <row r="54" spans="1:14" ht="12.75" customHeight="1" x14ac:dyDescent="0.25">
      <c r="A54" s="95" t="s">
        <v>1030</v>
      </c>
      <c r="B54" s="93"/>
      <c r="C54" s="96"/>
      <c r="D54" s="96"/>
      <c r="E54" s="96"/>
      <c r="F54" s="96"/>
      <c r="G54" s="94"/>
      <c r="H54" s="96"/>
      <c r="I54" s="96"/>
      <c r="J54" s="96"/>
      <c r="K54" s="96"/>
      <c r="L54" s="96"/>
      <c r="M54" s="96"/>
    </row>
    <row r="55" spans="1:14" ht="12.75" customHeight="1" x14ac:dyDescent="0.25">
      <c r="A55" s="1400" t="s">
        <v>1031</v>
      </c>
      <c r="B55" s="1400"/>
      <c r="C55" s="1400"/>
      <c r="D55" s="1401"/>
      <c r="E55" s="1401"/>
      <c r="F55" s="1401"/>
      <c r="G55" s="1401"/>
      <c r="H55" s="1401"/>
      <c r="I55" s="1401"/>
      <c r="J55" s="1401"/>
      <c r="K55" s="1401"/>
      <c r="L55" s="1401"/>
      <c r="M55" s="1401"/>
    </row>
    <row r="56" spans="1:14" ht="24" customHeight="1" x14ac:dyDescent="0.25">
      <c r="A56" s="1396" t="s">
        <v>1032</v>
      </c>
      <c r="B56" s="1396"/>
      <c r="C56" s="1396"/>
      <c r="D56" s="1397"/>
      <c r="E56" s="1397"/>
      <c r="F56" s="1397"/>
      <c r="G56" s="1397"/>
      <c r="H56" s="1397"/>
      <c r="I56" s="1397"/>
      <c r="J56" s="1397"/>
      <c r="K56" s="1397"/>
      <c r="L56" s="692"/>
      <c r="M56" s="692"/>
    </row>
    <row r="57" spans="1:14" ht="12.75" customHeight="1" x14ac:dyDescent="0.25">
      <c r="A57" s="1395" t="s">
        <v>995</v>
      </c>
      <c r="B57" s="1395"/>
      <c r="C57" s="1395"/>
      <c r="D57" s="1395"/>
      <c r="E57" s="1395"/>
      <c r="F57" s="1395"/>
      <c r="G57" s="1395"/>
      <c r="H57" s="1395"/>
      <c r="I57" s="1395"/>
      <c r="J57" s="1395"/>
      <c r="K57" s="1395"/>
      <c r="L57" s="1395"/>
      <c r="M57" s="1395"/>
    </row>
    <row r="58" spans="1:14" ht="26.25" customHeight="1" x14ac:dyDescent="0.25">
      <c r="A58" s="1395" t="s">
        <v>1035</v>
      </c>
      <c r="B58" s="1395"/>
      <c r="C58" s="1395"/>
      <c r="D58" s="1395"/>
      <c r="E58" s="1395"/>
      <c r="F58" s="1395"/>
      <c r="G58" s="1395"/>
      <c r="H58" s="1395"/>
      <c r="I58" s="1395"/>
      <c r="J58" s="1395"/>
      <c r="K58" s="1395"/>
      <c r="L58" s="1395"/>
      <c r="M58" s="1395"/>
    </row>
    <row r="59" spans="1:14" ht="12.75" customHeight="1" x14ac:dyDescent="0.25">
      <c r="A59" s="1389" t="s">
        <v>1036</v>
      </c>
      <c r="B59" s="1389"/>
      <c r="C59" s="1389"/>
      <c r="D59" s="1389"/>
      <c r="E59" s="1389"/>
      <c r="F59" s="1389"/>
      <c r="G59" s="1389"/>
      <c r="H59" s="1389"/>
      <c r="I59" s="1389"/>
      <c r="J59" s="1389"/>
      <c r="K59" s="1389"/>
      <c r="L59" s="1389"/>
      <c r="M59" s="1389"/>
    </row>
    <row r="60" spans="1:14" ht="12.75" customHeight="1" x14ac:dyDescent="0.25">
      <c r="A60" s="1389" t="s">
        <v>1037</v>
      </c>
      <c r="B60" s="1389"/>
      <c r="C60" s="1389"/>
      <c r="D60" s="1389"/>
      <c r="E60" s="1389"/>
      <c r="F60" s="1389"/>
      <c r="G60" s="1389"/>
      <c r="H60" s="1389"/>
      <c r="I60" s="1389"/>
      <c r="J60" s="1389"/>
      <c r="K60" s="1389"/>
      <c r="L60" s="1389"/>
      <c r="M60" s="1389"/>
    </row>
    <row r="61" spans="1:14" ht="12.75" customHeight="1" x14ac:dyDescent="0.25">
      <c r="A61" s="99" t="s">
        <v>1033</v>
      </c>
      <c r="B61" s="93"/>
      <c r="C61" s="96"/>
      <c r="D61" s="96"/>
      <c r="E61" s="96"/>
      <c r="F61" s="96"/>
      <c r="G61" s="96"/>
      <c r="H61" s="96"/>
      <c r="I61" s="96"/>
      <c r="J61" s="96"/>
      <c r="K61" s="96"/>
      <c r="L61" s="96"/>
      <c r="M61" s="96"/>
    </row>
    <row r="62" spans="1:14" ht="25.5" customHeight="1" x14ac:dyDescent="0.25">
      <c r="A62" s="1389" t="s">
        <v>1034</v>
      </c>
      <c r="B62" s="1389"/>
      <c r="C62" s="1389"/>
      <c r="D62" s="1389"/>
      <c r="E62" s="1389"/>
      <c r="F62" s="1389"/>
      <c r="G62" s="1389"/>
      <c r="H62" s="1389"/>
      <c r="I62" s="1389"/>
      <c r="J62" s="1389"/>
      <c r="K62" s="1389"/>
      <c r="L62" s="1389"/>
      <c r="M62" s="1389"/>
    </row>
    <row r="63" spans="1:14" ht="12.75" customHeight="1" x14ac:dyDescent="0.25">
      <c r="A63" s="99" t="s">
        <v>638</v>
      </c>
      <c r="B63" s="93"/>
      <c r="C63" s="96"/>
      <c r="D63" s="96"/>
      <c r="E63" s="96"/>
      <c r="F63" s="96"/>
      <c r="G63" s="96"/>
      <c r="H63" s="96"/>
      <c r="I63" s="96"/>
      <c r="J63" s="96"/>
      <c r="K63" s="96"/>
      <c r="L63" s="96"/>
      <c r="M63" s="96"/>
    </row>
    <row r="64" spans="1:14" ht="12.75" customHeight="1" x14ac:dyDescent="0.25">
      <c r="A64" s="1389" t="s">
        <v>639</v>
      </c>
      <c r="B64" s="1389"/>
      <c r="C64" s="1389"/>
      <c r="D64" s="1389"/>
      <c r="E64" s="1389"/>
      <c r="F64" s="1389"/>
      <c r="G64" s="1389"/>
      <c r="H64" s="1389"/>
      <c r="I64" s="1389"/>
      <c r="J64" s="1389"/>
      <c r="K64" s="1389"/>
      <c r="L64" s="1389"/>
      <c r="M64" s="1389"/>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4"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16" activePane="bottomRight" state="frozen"/>
      <selection activeCell="C6" sqref="C6"/>
      <selection pane="topRight" activeCell="C6" sqref="C6"/>
      <selection pane="bottomLeft" activeCell="C6" sqref="C6"/>
      <selection pane="bottomRight" activeCell="M225" sqref="M225"/>
    </sheetView>
  </sheetViews>
  <sheetFormatPr defaultColWidth="8.7109375" defaultRowHeight="12.75" x14ac:dyDescent="0.2"/>
  <cols>
    <col min="1" max="1" width="43.140625" customWidth="1"/>
    <col min="2" max="2" width="3.7109375" customWidth="1"/>
    <col min="3" max="9" width="8.7109375" customWidth="1"/>
    <col min="10" max="11" width="9.140625" style="826" customWidth="1"/>
  </cols>
  <sheetData>
    <row r="1" spans="1:14" x14ac:dyDescent="0.2">
      <c r="A1" s="57" t="str">
        <f>muni&amp;" - "&amp;_ADJ3&amp;" - B"&amp;" - "&amp;Date</f>
        <v>LIM333 Greater Tzaneen - Table B2 Adjustments Budget Financial Performance (functional classification) - B - 27/02/2019</v>
      </c>
      <c r="B1" s="838"/>
      <c r="C1" s="838"/>
    </row>
    <row r="2" spans="1:14" ht="35.25" customHeight="1" x14ac:dyDescent="0.2">
      <c r="A2" s="716" t="str">
        <f>"Standard Classification "&amp;desc</f>
        <v>Standard Classification Description</v>
      </c>
      <c r="B2" s="729" t="str">
        <f>head27</f>
        <v>Ref</v>
      </c>
      <c r="C2" s="1391" t="str">
        <f>Head2</f>
        <v>Budget Year 2018/19</v>
      </c>
      <c r="D2" s="1391"/>
      <c r="E2" s="1391"/>
      <c r="F2" s="1391"/>
      <c r="G2" s="1391"/>
      <c r="H2" s="1391"/>
      <c r="I2" s="1391"/>
      <c r="J2" s="1391"/>
      <c r="K2" s="1391"/>
      <c r="L2" s="103" t="str">
        <f>Head10</f>
        <v>Budget Year +1 2019/20</v>
      </c>
      <c r="M2" s="61" t="str">
        <f>Head11</f>
        <v>Budget Year +2 2020/21</v>
      </c>
    </row>
    <row r="3" spans="1:14" ht="25.5" x14ac:dyDescent="0.2">
      <c r="A3" s="838"/>
      <c r="B3" s="83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3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514</v>
      </c>
      <c r="B5" s="731">
        <v>1</v>
      </c>
      <c r="C5" s="67" t="s">
        <v>548</v>
      </c>
      <c r="D5" s="68" t="s">
        <v>549</v>
      </c>
      <c r="E5" s="68" t="s">
        <v>550</v>
      </c>
      <c r="F5" s="69" t="s">
        <v>551</v>
      </c>
      <c r="G5" s="69" t="s">
        <v>552</v>
      </c>
      <c r="H5" s="69" t="s">
        <v>553</v>
      </c>
      <c r="I5" s="70" t="s">
        <v>554</v>
      </c>
      <c r="J5" s="70" t="s">
        <v>555</v>
      </c>
      <c r="K5" s="70" t="s">
        <v>556</v>
      </c>
      <c r="L5" s="70"/>
      <c r="M5" s="71"/>
    </row>
    <row r="6" spans="1:14" ht="13.5" x14ac:dyDescent="0.25">
      <c r="A6" s="493" t="s">
        <v>1582</v>
      </c>
      <c r="B6" s="732"/>
      <c r="C6" s="737"/>
      <c r="D6" s="717"/>
      <c r="E6" s="717"/>
      <c r="F6" s="717"/>
      <c r="G6" s="717"/>
      <c r="H6" s="717"/>
      <c r="I6" s="717"/>
      <c r="J6" s="883"/>
      <c r="K6" s="883"/>
      <c r="L6" s="717"/>
      <c r="M6" s="739"/>
      <c r="N6" s="826"/>
    </row>
    <row r="7" spans="1:14" ht="13.5" x14ac:dyDescent="0.25">
      <c r="A7" s="107" t="s">
        <v>1000</v>
      </c>
      <c r="B7" s="733"/>
      <c r="C7" s="719">
        <f t="shared" ref="C7:I7" si="1">C8+C11+C25</f>
        <v>450217007</v>
      </c>
      <c r="D7" s="718">
        <f t="shared" si="1"/>
        <v>0</v>
      </c>
      <c r="E7" s="718">
        <f t="shared" si="1"/>
        <v>0</v>
      </c>
      <c r="F7" s="718">
        <f t="shared" si="1"/>
        <v>0</v>
      </c>
      <c r="G7" s="718">
        <f t="shared" si="1"/>
        <v>0</v>
      </c>
      <c r="H7" s="718">
        <f t="shared" si="1"/>
        <v>0</v>
      </c>
      <c r="I7" s="718">
        <f t="shared" si="1"/>
        <v>0</v>
      </c>
      <c r="J7" s="718">
        <f>SUM(E7:I7)</f>
        <v>0</v>
      </c>
      <c r="K7" s="718">
        <f>IF(D7=0,C7+J7,D7+J7)</f>
        <v>450217007</v>
      </c>
      <c r="L7" s="718">
        <f>L8+L11+L25</f>
        <v>495325047.38500005</v>
      </c>
      <c r="M7" s="720">
        <f>M8+M11+M25</f>
        <v>536357959.99117494</v>
      </c>
      <c r="N7" s="128"/>
    </row>
    <row r="8" spans="1:14" ht="13.5" x14ac:dyDescent="0.25">
      <c r="A8" s="721" t="s">
        <v>616</v>
      </c>
      <c r="B8" s="733"/>
      <c r="C8" s="711">
        <f>SUM(C9:C10)</f>
        <v>1100</v>
      </c>
      <c r="D8" s="265">
        <f t="shared" ref="D8:I8" si="2">SUM(D9:D10)</f>
        <v>0</v>
      </c>
      <c r="E8" s="265">
        <f t="shared" si="2"/>
        <v>0</v>
      </c>
      <c r="F8" s="265">
        <f t="shared" si="2"/>
        <v>0</v>
      </c>
      <c r="G8" s="265">
        <f t="shared" si="2"/>
        <v>0</v>
      </c>
      <c r="H8" s="265">
        <f t="shared" si="2"/>
        <v>0</v>
      </c>
      <c r="I8" s="265">
        <f t="shared" si="2"/>
        <v>0</v>
      </c>
      <c r="J8" s="265">
        <f>SUM(E8:I8)</f>
        <v>0</v>
      </c>
      <c r="K8" s="265">
        <f>IF(D8=0,C8+J8,D8+J8)</f>
        <v>1100</v>
      </c>
      <c r="L8" s="265">
        <f>SUM(L9:L10)</f>
        <v>1160.5</v>
      </c>
      <c r="M8" s="266">
        <f>SUM(M9:M10)</f>
        <v>1224.3275000000001</v>
      </c>
      <c r="N8" s="128"/>
    </row>
    <row r="9" spans="1:14" ht="13.5" customHeight="1" x14ac:dyDescent="0.25">
      <c r="A9" s="840" t="s">
        <v>1001</v>
      </c>
      <c r="B9" s="733"/>
      <c r="C9" s="389">
        <v>1100</v>
      </c>
      <c r="D9" s="109"/>
      <c r="E9" s="109"/>
      <c r="F9" s="109"/>
      <c r="G9" s="109"/>
      <c r="H9" s="109"/>
      <c r="I9" s="109"/>
      <c r="J9" s="173">
        <f>SUM(E9:I9)</f>
        <v>0</v>
      </c>
      <c r="K9" s="173">
        <f>IF(D9=0,C9+J9,D9+J9)</f>
        <v>1100</v>
      </c>
      <c r="L9" s="109">
        <v>1160.5</v>
      </c>
      <c r="M9" s="110">
        <v>1224.3275000000001</v>
      </c>
      <c r="N9" s="128"/>
    </row>
    <row r="10" spans="1:14" ht="13.5" customHeight="1" x14ac:dyDescent="0.25">
      <c r="A10" s="840" t="s">
        <v>1506</v>
      </c>
      <c r="B10" s="733"/>
      <c r="C10" s="389"/>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21" t="s">
        <v>1501</v>
      </c>
      <c r="B11" s="733"/>
      <c r="C11" s="711">
        <f t="shared" ref="C11:I11" si="5">SUM(C12:C24)</f>
        <v>450215907</v>
      </c>
      <c r="D11" s="265">
        <f t="shared" si="5"/>
        <v>0</v>
      </c>
      <c r="E11" s="265">
        <f t="shared" si="5"/>
        <v>0</v>
      </c>
      <c r="F11" s="265">
        <f t="shared" si="5"/>
        <v>0</v>
      </c>
      <c r="G11" s="265">
        <f t="shared" si="5"/>
        <v>0</v>
      </c>
      <c r="H11" s="265">
        <f t="shared" si="5"/>
        <v>0</v>
      </c>
      <c r="I11" s="265">
        <f t="shared" si="5"/>
        <v>0</v>
      </c>
      <c r="J11" s="265">
        <f t="shared" si="3"/>
        <v>0</v>
      </c>
      <c r="K11" s="265">
        <f t="shared" si="4"/>
        <v>450215907</v>
      </c>
      <c r="L11" s="265">
        <f>SUM(L12:L24)</f>
        <v>495323886.88500005</v>
      </c>
      <c r="M11" s="266">
        <f>SUM(M12:M24)</f>
        <v>536356735.66367495</v>
      </c>
      <c r="N11" s="128"/>
    </row>
    <row r="12" spans="1:14" ht="13.5" customHeight="1" x14ac:dyDescent="0.25">
      <c r="A12" s="840" t="s">
        <v>1507</v>
      </c>
      <c r="B12" s="733"/>
      <c r="C12" s="389">
        <v>128</v>
      </c>
      <c r="D12" s="109"/>
      <c r="E12" s="109"/>
      <c r="F12" s="109"/>
      <c r="G12" s="109"/>
      <c r="H12" s="109"/>
      <c r="I12" s="109"/>
      <c r="J12" s="173">
        <f t="shared" si="3"/>
        <v>0</v>
      </c>
      <c r="K12" s="173">
        <f t="shared" si="4"/>
        <v>128</v>
      </c>
      <c r="L12" s="109">
        <v>135.04</v>
      </c>
      <c r="M12" s="110">
        <v>142.46719999999999</v>
      </c>
      <c r="N12" s="128"/>
    </row>
    <row r="13" spans="1:14" ht="13.5" customHeight="1" x14ac:dyDescent="0.25">
      <c r="A13" s="840" t="s">
        <v>595</v>
      </c>
      <c r="B13" s="733"/>
      <c r="C13" s="389"/>
      <c r="D13" s="109"/>
      <c r="E13" s="109"/>
      <c r="F13" s="109"/>
      <c r="G13" s="109"/>
      <c r="H13" s="109"/>
      <c r="I13" s="109"/>
      <c r="J13" s="173">
        <f t="shared" si="3"/>
        <v>0</v>
      </c>
      <c r="K13" s="173">
        <f t="shared" si="4"/>
        <v>0</v>
      </c>
      <c r="L13" s="109"/>
      <c r="M13" s="110"/>
      <c r="N13" s="128"/>
    </row>
    <row r="14" spans="1:14" ht="13.5" customHeight="1" x14ac:dyDescent="0.25">
      <c r="A14" s="840" t="s">
        <v>1508</v>
      </c>
      <c r="B14" s="733"/>
      <c r="C14" s="389">
        <v>450215650</v>
      </c>
      <c r="D14" s="109"/>
      <c r="E14" s="109"/>
      <c r="F14" s="109"/>
      <c r="G14" s="109"/>
      <c r="H14" s="109"/>
      <c r="I14" s="109"/>
      <c r="J14" s="173">
        <f t="shared" si="3"/>
        <v>0</v>
      </c>
      <c r="K14" s="173">
        <f t="shared" si="4"/>
        <v>450215650</v>
      </c>
      <c r="L14" s="109">
        <v>495323615.75</v>
      </c>
      <c r="M14" s="110">
        <v>536356449.61624998</v>
      </c>
      <c r="N14" s="128"/>
    </row>
    <row r="15" spans="1:14" ht="13.5" customHeight="1" x14ac:dyDescent="0.25">
      <c r="A15" s="840" t="s">
        <v>1509</v>
      </c>
      <c r="B15" s="733"/>
      <c r="C15" s="389"/>
      <c r="D15" s="109"/>
      <c r="E15" s="109"/>
      <c r="F15" s="109"/>
      <c r="G15" s="109"/>
      <c r="H15" s="109"/>
      <c r="I15" s="109"/>
      <c r="J15" s="173">
        <f t="shared" si="3"/>
        <v>0</v>
      </c>
      <c r="K15" s="173">
        <f t="shared" si="4"/>
        <v>0</v>
      </c>
      <c r="L15" s="109"/>
      <c r="M15" s="110"/>
      <c r="N15" s="128"/>
    </row>
    <row r="16" spans="1:14" ht="13.5" customHeight="1" x14ac:dyDescent="0.25">
      <c r="A16" s="840" t="s">
        <v>1002</v>
      </c>
      <c r="B16" s="733"/>
      <c r="C16" s="389"/>
      <c r="D16" s="109"/>
      <c r="E16" s="109"/>
      <c r="F16" s="109"/>
      <c r="G16" s="109"/>
      <c r="H16" s="109"/>
      <c r="I16" s="109"/>
      <c r="J16" s="173">
        <f t="shared" si="3"/>
        <v>0</v>
      </c>
      <c r="K16" s="173">
        <f t="shared" si="4"/>
        <v>0</v>
      </c>
      <c r="L16" s="109"/>
      <c r="M16" s="110"/>
      <c r="N16" s="128"/>
    </row>
    <row r="17" spans="1:14" ht="13.5" customHeight="1" x14ac:dyDescent="0.25">
      <c r="A17" s="840" t="s">
        <v>1003</v>
      </c>
      <c r="B17" s="733"/>
      <c r="C17" s="389"/>
      <c r="D17" s="109"/>
      <c r="E17" s="109"/>
      <c r="F17" s="109"/>
      <c r="G17" s="109"/>
      <c r="H17" s="109"/>
      <c r="I17" s="109"/>
      <c r="J17" s="173">
        <f t="shared" si="3"/>
        <v>0</v>
      </c>
      <c r="K17" s="173">
        <f t="shared" si="4"/>
        <v>0</v>
      </c>
      <c r="L17" s="109"/>
      <c r="M17" s="110"/>
      <c r="N17" s="128"/>
    </row>
    <row r="18" spans="1:14" ht="13.5" customHeight="1" x14ac:dyDescent="0.25">
      <c r="A18" s="840" t="s">
        <v>1510</v>
      </c>
      <c r="B18" s="733"/>
      <c r="C18" s="389">
        <v>129</v>
      </c>
      <c r="D18" s="109"/>
      <c r="E18" s="109"/>
      <c r="F18" s="109"/>
      <c r="G18" s="109"/>
      <c r="H18" s="109"/>
      <c r="I18" s="109"/>
      <c r="J18" s="173">
        <f t="shared" si="3"/>
        <v>0</v>
      </c>
      <c r="K18" s="173">
        <f t="shared" si="4"/>
        <v>129</v>
      </c>
      <c r="L18" s="109">
        <v>136.095</v>
      </c>
      <c r="M18" s="110">
        <v>143.58022500000001</v>
      </c>
      <c r="N18" s="128"/>
    </row>
    <row r="19" spans="1:14" ht="13.5" customHeight="1" x14ac:dyDescent="0.25">
      <c r="A19" s="840" t="s">
        <v>1511</v>
      </c>
      <c r="B19" s="733"/>
      <c r="C19" s="389"/>
      <c r="D19" s="109"/>
      <c r="E19" s="109"/>
      <c r="F19" s="109"/>
      <c r="G19" s="109"/>
      <c r="H19" s="109"/>
      <c r="I19" s="109"/>
      <c r="J19" s="173">
        <f t="shared" si="3"/>
        <v>0</v>
      </c>
      <c r="K19" s="173">
        <f t="shared" si="4"/>
        <v>0</v>
      </c>
      <c r="L19" s="109"/>
      <c r="M19" s="110"/>
      <c r="N19" s="128"/>
    </row>
    <row r="20" spans="1:14" ht="13.5" customHeight="1" x14ac:dyDescent="0.25">
      <c r="A20" s="840" t="s">
        <v>1004</v>
      </c>
      <c r="B20" s="733"/>
      <c r="C20" s="389"/>
      <c r="D20" s="109"/>
      <c r="E20" s="109"/>
      <c r="F20" s="109"/>
      <c r="G20" s="109"/>
      <c r="H20" s="109"/>
      <c r="I20" s="109"/>
      <c r="J20" s="173">
        <f t="shared" si="3"/>
        <v>0</v>
      </c>
      <c r="K20" s="173">
        <f t="shared" si="4"/>
        <v>0</v>
      </c>
      <c r="L20" s="109"/>
      <c r="M20" s="110"/>
      <c r="N20" s="128"/>
    </row>
    <row r="21" spans="1:14" ht="13.5" customHeight="1" x14ac:dyDescent="0.25">
      <c r="A21" s="840" t="s">
        <v>1512</v>
      </c>
      <c r="B21" s="733"/>
      <c r="C21" s="389"/>
      <c r="D21" s="109"/>
      <c r="E21" s="109"/>
      <c r="F21" s="109"/>
      <c r="G21" s="109"/>
      <c r="H21" s="109"/>
      <c r="I21" s="109"/>
      <c r="J21" s="173">
        <f t="shared" si="3"/>
        <v>0</v>
      </c>
      <c r="K21" s="173">
        <f t="shared" si="4"/>
        <v>0</v>
      </c>
      <c r="L21" s="109"/>
      <c r="M21" s="110"/>
      <c r="N21" s="128"/>
    </row>
    <row r="22" spans="1:14" ht="13.5" customHeight="1" x14ac:dyDescent="0.25">
      <c r="A22" s="840" t="s">
        <v>1513</v>
      </c>
      <c r="B22" s="733"/>
      <c r="C22" s="389"/>
      <c r="D22" s="109"/>
      <c r="E22" s="109"/>
      <c r="F22" s="109"/>
      <c r="G22" s="109"/>
      <c r="H22" s="109"/>
      <c r="I22" s="109"/>
      <c r="J22" s="173">
        <f t="shared" si="3"/>
        <v>0</v>
      </c>
      <c r="K22" s="173">
        <f t="shared" si="4"/>
        <v>0</v>
      </c>
      <c r="L22" s="109"/>
      <c r="M22" s="110"/>
      <c r="N22" s="128"/>
    </row>
    <row r="23" spans="1:14" ht="13.5" customHeight="1" x14ac:dyDescent="0.25">
      <c r="A23" s="840" t="s">
        <v>1514</v>
      </c>
      <c r="B23" s="733"/>
      <c r="C23" s="389"/>
      <c r="D23" s="109"/>
      <c r="E23" s="109"/>
      <c r="F23" s="109"/>
      <c r="G23" s="109"/>
      <c r="H23" s="109"/>
      <c r="I23" s="109"/>
      <c r="J23" s="173">
        <f t="shared" si="3"/>
        <v>0</v>
      </c>
      <c r="K23" s="173">
        <f t="shared" si="4"/>
        <v>0</v>
      </c>
      <c r="L23" s="109"/>
      <c r="M23" s="110"/>
      <c r="N23" s="128"/>
    </row>
    <row r="24" spans="1:14" ht="13.5" customHeight="1" x14ac:dyDescent="0.25">
      <c r="A24" s="840" t="s">
        <v>1515</v>
      </c>
      <c r="B24" s="733"/>
      <c r="C24" s="389"/>
      <c r="D24" s="109"/>
      <c r="E24" s="109"/>
      <c r="F24" s="109"/>
      <c r="G24" s="109"/>
      <c r="H24" s="109"/>
      <c r="I24" s="109"/>
      <c r="J24" s="173">
        <f t="shared" si="3"/>
        <v>0</v>
      </c>
      <c r="K24" s="173">
        <f t="shared" si="4"/>
        <v>0</v>
      </c>
      <c r="L24" s="109"/>
      <c r="M24" s="110"/>
      <c r="N24" s="128"/>
    </row>
    <row r="25" spans="1:14" ht="13.5" customHeight="1" x14ac:dyDescent="0.25">
      <c r="A25" s="721" t="s">
        <v>1502</v>
      </c>
      <c r="B25" s="733"/>
      <c r="C25" s="711">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40" t="s">
        <v>1516</v>
      </c>
      <c r="B26" s="733"/>
      <c r="C26" s="389"/>
      <c r="D26" s="109"/>
      <c r="E26" s="109"/>
      <c r="F26" s="109"/>
      <c r="G26" s="109"/>
      <c r="H26" s="109"/>
      <c r="I26" s="109"/>
      <c r="J26" s="173">
        <f t="shared" si="3"/>
        <v>0</v>
      </c>
      <c r="K26" s="173">
        <f t="shared" si="4"/>
        <v>0</v>
      </c>
      <c r="L26" s="109"/>
      <c r="M26" s="110"/>
      <c r="N26" s="128"/>
    </row>
    <row r="27" spans="1:14" ht="13.5" customHeight="1" x14ac:dyDescent="0.25">
      <c r="A27" s="107" t="s">
        <v>617</v>
      </c>
      <c r="B27" s="733"/>
      <c r="C27" s="719">
        <f t="shared" ref="C27:I27" si="7">C28+C50+C56+C65+C68</f>
        <v>6917620</v>
      </c>
      <c r="D27" s="718">
        <f t="shared" si="7"/>
        <v>0</v>
      </c>
      <c r="E27" s="718">
        <f t="shared" si="7"/>
        <v>0</v>
      </c>
      <c r="F27" s="718">
        <f t="shared" si="7"/>
        <v>0</v>
      </c>
      <c r="G27" s="718">
        <f t="shared" si="7"/>
        <v>0</v>
      </c>
      <c r="H27" s="718">
        <f t="shared" si="7"/>
        <v>0</v>
      </c>
      <c r="I27" s="718">
        <f t="shared" si="7"/>
        <v>0</v>
      </c>
      <c r="J27" s="718">
        <f t="shared" si="3"/>
        <v>0</v>
      </c>
      <c r="K27" s="718">
        <f t="shared" si="4"/>
        <v>6917620</v>
      </c>
      <c r="L27" s="718">
        <f>L28+L50+L56+L65+L68</f>
        <v>7298089.0999999996</v>
      </c>
      <c r="M27" s="720">
        <f>M28+M50+M56+M65+M68</f>
        <v>7699484.0005000001</v>
      </c>
      <c r="N27" s="128"/>
    </row>
    <row r="28" spans="1:14" ht="13.5" customHeight="1" x14ac:dyDescent="0.25">
      <c r="A28" s="721" t="s">
        <v>618</v>
      </c>
      <c r="B28" s="733"/>
      <c r="C28" s="722">
        <f t="shared" ref="C28:M28" si="8">SUM(C29:C49)</f>
        <v>65629</v>
      </c>
      <c r="D28" s="270">
        <f t="shared" si="8"/>
        <v>0</v>
      </c>
      <c r="E28" s="270">
        <f t="shared" si="8"/>
        <v>0</v>
      </c>
      <c r="F28" s="270">
        <f t="shared" si="8"/>
        <v>0</v>
      </c>
      <c r="G28" s="270">
        <f t="shared" si="8"/>
        <v>0</v>
      </c>
      <c r="H28" s="270">
        <f t="shared" si="8"/>
        <v>0</v>
      </c>
      <c r="I28" s="270">
        <f t="shared" si="8"/>
        <v>0</v>
      </c>
      <c r="J28" s="270">
        <f t="shared" si="3"/>
        <v>0</v>
      </c>
      <c r="K28" s="270">
        <f t="shared" si="4"/>
        <v>65629</v>
      </c>
      <c r="L28" s="270">
        <f t="shared" si="8"/>
        <v>69238.595000000001</v>
      </c>
      <c r="M28" s="271">
        <f t="shared" si="8"/>
        <v>73046.717724999995</v>
      </c>
      <c r="N28" s="128"/>
    </row>
    <row r="29" spans="1:14" ht="13.5" customHeight="1" x14ac:dyDescent="0.25">
      <c r="A29" s="840" t="s">
        <v>1006</v>
      </c>
      <c r="B29" s="733"/>
      <c r="C29" s="389"/>
      <c r="D29" s="109"/>
      <c r="E29" s="109"/>
      <c r="F29" s="109"/>
      <c r="G29" s="109"/>
      <c r="H29" s="109"/>
      <c r="I29" s="109"/>
      <c r="J29" s="173">
        <f t="shared" si="3"/>
        <v>0</v>
      </c>
      <c r="K29" s="173">
        <f t="shared" si="4"/>
        <v>0</v>
      </c>
      <c r="L29" s="109"/>
      <c r="M29" s="110"/>
      <c r="N29" s="128"/>
    </row>
    <row r="30" spans="1:14" ht="13.5" customHeight="1" x14ac:dyDescent="0.25">
      <c r="A30" s="840" t="s">
        <v>704</v>
      </c>
      <c r="B30" s="733"/>
      <c r="C30" s="389"/>
      <c r="D30" s="109"/>
      <c r="E30" s="109"/>
      <c r="F30" s="109"/>
      <c r="G30" s="109"/>
      <c r="H30" s="109"/>
      <c r="I30" s="109"/>
      <c r="J30" s="173">
        <f t="shared" si="3"/>
        <v>0</v>
      </c>
      <c r="K30" s="173">
        <f t="shared" si="4"/>
        <v>0</v>
      </c>
      <c r="L30" s="109"/>
      <c r="M30" s="110"/>
      <c r="N30" s="128"/>
    </row>
    <row r="31" spans="1:14" ht="13.5" customHeight="1" x14ac:dyDescent="0.25">
      <c r="A31" s="840" t="s">
        <v>1517</v>
      </c>
      <c r="B31" s="733"/>
      <c r="C31" s="389"/>
      <c r="D31" s="109"/>
      <c r="E31" s="109"/>
      <c r="F31" s="109"/>
      <c r="G31" s="109"/>
      <c r="H31" s="109"/>
      <c r="I31" s="109"/>
      <c r="J31" s="173">
        <f t="shared" si="3"/>
        <v>0</v>
      </c>
      <c r="K31" s="173">
        <f t="shared" si="4"/>
        <v>0</v>
      </c>
      <c r="L31" s="109"/>
      <c r="M31" s="110"/>
      <c r="N31" s="128"/>
    </row>
    <row r="32" spans="1:14" ht="13.5" customHeight="1" x14ac:dyDescent="0.25">
      <c r="A32" s="840" t="s">
        <v>1518</v>
      </c>
      <c r="B32" s="733"/>
      <c r="C32" s="389"/>
      <c r="D32" s="109"/>
      <c r="E32" s="109"/>
      <c r="F32" s="109"/>
      <c r="G32" s="109"/>
      <c r="H32" s="109"/>
      <c r="I32" s="109"/>
      <c r="J32" s="173">
        <f t="shared" si="3"/>
        <v>0</v>
      </c>
      <c r="K32" s="173">
        <f t="shared" si="4"/>
        <v>0</v>
      </c>
      <c r="L32" s="109"/>
      <c r="M32" s="110"/>
      <c r="N32" s="128"/>
    </row>
    <row r="33" spans="1:14" ht="13.5" customHeight="1" x14ac:dyDescent="0.25">
      <c r="A33" s="840" t="s">
        <v>1519</v>
      </c>
      <c r="B33" s="733"/>
      <c r="C33" s="389"/>
      <c r="D33" s="109"/>
      <c r="E33" s="109"/>
      <c r="F33" s="109"/>
      <c r="G33" s="109"/>
      <c r="H33" s="109"/>
      <c r="I33" s="109"/>
      <c r="J33" s="173">
        <f t="shared" si="3"/>
        <v>0</v>
      </c>
      <c r="K33" s="173">
        <f t="shared" si="4"/>
        <v>0</v>
      </c>
      <c r="L33" s="109"/>
      <c r="M33" s="110"/>
      <c r="N33" s="128"/>
    </row>
    <row r="34" spans="1:14" ht="13.5" customHeight="1" x14ac:dyDescent="0.25">
      <c r="A34" s="840" t="s">
        <v>1520</v>
      </c>
      <c r="B34" s="733"/>
      <c r="C34" s="389"/>
      <c r="D34" s="109"/>
      <c r="E34" s="109"/>
      <c r="F34" s="109"/>
      <c r="G34" s="109"/>
      <c r="H34" s="109"/>
      <c r="I34" s="109"/>
      <c r="J34" s="173">
        <f t="shared" si="3"/>
        <v>0</v>
      </c>
      <c r="K34" s="173">
        <f t="shared" si="4"/>
        <v>0</v>
      </c>
      <c r="L34" s="109"/>
      <c r="M34" s="110"/>
      <c r="N34" s="128"/>
    </row>
    <row r="35" spans="1:14" ht="13.5" customHeight="1" x14ac:dyDescent="0.25">
      <c r="A35" s="840" t="s">
        <v>1521</v>
      </c>
      <c r="B35" s="733"/>
      <c r="C35" s="389"/>
      <c r="D35" s="109"/>
      <c r="E35" s="109"/>
      <c r="F35" s="109"/>
      <c r="G35" s="109"/>
      <c r="H35" s="109"/>
      <c r="I35" s="109"/>
      <c r="J35" s="173">
        <f t="shared" si="3"/>
        <v>0</v>
      </c>
      <c r="K35" s="173">
        <f t="shared" si="4"/>
        <v>0</v>
      </c>
      <c r="L35" s="109"/>
      <c r="M35" s="110"/>
      <c r="N35" s="128"/>
    </row>
    <row r="36" spans="1:14" ht="13.5" customHeight="1" x14ac:dyDescent="0.25">
      <c r="A36" s="840" t="s">
        <v>1522</v>
      </c>
      <c r="B36" s="733"/>
      <c r="C36" s="389"/>
      <c r="D36" s="109"/>
      <c r="E36" s="109"/>
      <c r="F36" s="109"/>
      <c r="G36" s="109"/>
      <c r="H36" s="109"/>
      <c r="I36" s="109"/>
      <c r="J36" s="173">
        <f t="shared" si="3"/>
        <v>0</v>
      </c>
      <c r="K36" s="173">
        <f t="shared" si="4"/>
        <v>0</v>
      </c>
      <c r="L36" s="109"/>
      <c r="M36" s="110"/>
      <c r="N36" s="128"/>
    </row>
    <row r="37" spans="1:14" ht="13.5" customHeight="1" x14ac:dyDescent="0.25">
      <c r="A37" s="840" t="s">
        <v>1523</v>
      </c>
      <c r="B37" s="733"/>
      <c r="C37" s="389"/>
      <c r="D37" s="109"/>
      <c r="E37" s="109"/>
      <c r="F37" s="109"/>
      <c r="G37" s="109"/>
      <c r="H37" s="109"/>
      <c r="I37" s="109"/>
      <c r="J37" s="173">
        <f t="shared" si="3"/>
        <v>0</v>
      </c>
      <c r="K37" s="173">
        <f t="shared" si="4"/>
        <v>0</v>
      </c>
      <c r="L37" s="109"/>
      <c r="M37" s="110"/>
      <c r="N37" s="128"/>
    </row>
    <row r="38" spans="1:14" ht="13.5" customHeight="1" x14ac:dyDescent="0.25">
      <c r="A38" s="840" t="s">
        <v>1311</v>
      </c>
      <c r="B38" s="733"/>
      <c r="C38" s="389"/>
      <c r="D38" s="109"/>
      <c r="E38" s="109"/>
      <c r="F38" s="109"/>
      <c r="G38" s="109"/>
      <c r="H38" s="109"/>
      <c r="I38" s="109"/>
      <c r="J38" s="173">
        <f t="shared" si="3"/>
        <v>0</v>
      </c>
      <c r="K38" s="173">
        <f t="shared" si="4"/>
        <v>0</v>
      </c>
      <c r="L38" s="109"/>
      <c r="M38" s="110"/>
      <c r="N38" s="128"/>
    </row>
    <row r="39" spans="1:14" ht="13.5" customHeight="1" x14ac:dyDescent="0.25">
      <c r="A39" s="840" t="s">
        <v>1524</v>
      </c>
      <c r="B39" s="733"/>
      <c r="C39" s="389"/>
      <c r="D39" s="109"/>
      <c r="E39" s="109"/>
      <c r="F39" s="109"/>
      <c r="G39" s="109"/>
      <c r="H39" s="109"/>
      <c r="I39" s="109"/>
      <c r="J39" s="173">
        <f t="shared" si="3"/>
        <v>0</v>
      </c>
      <c r="K39" s="173">
        <f t="shared" si="4"/>
        <v>0</v>
      </c>
      <c r="L39" s="109"/>
      <c r="M39" s="110"/>
      <c r="N39" s="128"/>
    </row>
    <row r="40" spans="1:14" ht="13.5" customHeight="1" x14ac:dyDescent="0.25">
      <c r="A40" s="840" t="s">
        <v>1525</v>
      </c>
      <c r="B40" s="733"/>
      <c r="C40" s="389"/>
      <c r="D40" s="109"/>
      <c r="E40" s="109"/>
      <c r="F40" s="109"/>
      <c r="G40" s="109"/>
      <c r="H40" s="109"/>
      <c r="I40" s="109"/>
      <c r="J40" s="173">
        <f t="shared" si="3"/>
        <v>0</v>
      </c>
      <c r="K40" s="173">
        <f t="shared" si="4"/>
        <v>0</v>
      </c>
      <c r="L40" s="109"/>
      <c r="M40" s="110"/>
      <c r="N40" s="128"/>
    </row>
    <row r="41" spans="1:14" ht="13.5" customHeight="1" x14ac:dyDescent="0.25">
      <c r="A41" s="840" t="s">
        <v>1526</v>
      </c>
      <c r="B41" s="733"/>
      <c r="C41" s="389"/>
      <c r="D41" s="109"/>
      <c r="E41" s="109"/>
      <c r="F41" s="109"/>
      <c r="G41" s="109"/>
      <c r="H41" s="109"/>
      <c r="I41" s="109"/>
      <c r="J41" s="173">
        <f t="shared" si="3"/>
        <v>0</v>
      </c>
      <c r="K41" s="173">
        <f t="shared" si="4"/>
        <v>0</v>
      </c>
      <c r="L41" s="109"/>
      <c r="M41" s="110"/>
      <c r="N41" s="128"/>
    </row>
    <row r="42" spans="1:14" ht="13.5" customHeight="1" x14ac:dyDescent="0.25">
      <c r="A42" s="840" t="s">
        <v>1005</v>
      </c>
      <c r="B42" s="733"/>
      <c r="C42" s="389">
        <v>65629</v>
      </c>
      <c r="D42" s="109"/>
      <c r="E42" s="109"/>
      <c r="F42" s="109"/>
      <c r="G42" s="109"/>
      <c r="H42" s="109"/>
      <c r="I42" s="109"/>
      <c r="J42" s="173">
        <f t="shared" si="3"/>
        <v>0</v>
      </c>
      <c r="K42" s="173">
        <f t="shared" si="4"/>
        <v>65629</v>
      </c>
      <c r="L42" s="109">
        <v>69238.595000000001</v>
      </c>
      <c r="M42" s="110">
        <v>73046.717724999995</v>
      </c>
      <c r="N42" s="128"/>
    </row>
    <row r="43" spans="1:14" ht="13.5" customHeight="1" x14ac:dyDescent="0.25">
      <c r="A43" s="840" t="s">
        <v>1527</v>
      </c>
      <c r="B43" s="733"/>
      <c r="C43" s="389"/>
      <c r="D43" s="109"/>
      <c r="E43" s="109"/>
      <c r="F43" s="109"/>
      <c r="G43" s="109"/>
      <c r="H43" s="109"/>
      <c r="I43" s="109"/>
      <c r="J43" s="173">
        <f t="shared" si="3"/>
        <v>0</v>
      </c>
      <c r="K43" s="173">
        <f t="shared" si="4"/>
        <v>0</v>
      </c>
      <c r="L43" s="109"/>
      <c r="M43" s="110"/>
      <c r="N43" s="128"/>
    </row>
    <row r="44" spans="1:14" ht="13.5" customHeight="1" x14ac:dyDescent="0.25">
      <c r="A44" s="840" t="s">
        <v>1528</v>
      </c>
      <c r="B44" s="733"/>
      <c r="C44" s="389"/>
      <c r="D44" s="109"/>
      <c r="E44" s="109"/>
      <c r="F44" s="109"/>
      <c r="G44" s="109"/>
      <c r="H44" s="109"/>
      <c r="I44" s="109"/>
      <c r="J44" s="173">
        <f t="shared" si="3"/>
        <v>0</v>
      </c>
      <c r="K44" s="173">
        <f t="shared" si="4"/>
        <v>0</v>
      </c>
      <c r="L44" s="109"/>
      <c r="M44" s="110"/>
      <c r="N44" s="128"/>
    </row>
    <row r="45" spans="1:14" ht="13.5" customHeight="1" x14ac:dyDescent="0.25">
      <c r="A45" s="840" t="s">
        <v>1529</v>
      </c>
      <c r="B45" s="733"/>
      <c r="C45" s="389"/>
      <c r="D45" s="109"/>
      <c r="E45" s="109"/>
      <c r="F45" s="109"/>
      <c r="G45" s="109"/>
      <c r="H45" s="109"/>
      <c r="I45" s="109"/>
      <c r="J45" s="173">
        <f t="shared" si="3"/>
        <v>0</v>
      </c>
      <c r="K45" s="173">
        <f t="shared" si="4"/>
        <v>0</v>
      </c>
      <c r="L45" s="109"/>
      <c r="M45" s="110"/>
      <c r="N45" s="128"/>
    </row>
    <row r="46" spans="1:14" ht="13.5" customHeight="1" x14ac:dyDescent="0.25">
      <c r="A46" s="840" t="s">
        <v>1530</v>
      </c>
      <c r="B46" s="733"/>
      <c r="C46" s="389"/>
      <c r="D46" s="109"/>
      <c r="E46" s="109"/>
      <c r="F46" s="109"/>
      <c r="G46" s="109"/>
      <c r="H46" s="109"/>
      <c r="I46" s="109"/>
      <c r="J46" s="173">
        <f t="shared" si="3"/>
        <v>0</v>
      </c>
      <c r="K46" s="173">
        <f t="shared" si="4"/>
        <v>0</v>
      </c>
      <c r="L46" s="109"/>
      <c r="M46" s="110"/>
      <c r="N46" s="128"/>
    </row>
    <row r="47" spans="1:14" ht="13.5" customHeight="1" x14ac:dyDescent="0.25">
      <c r="A47" s="840" t="s">
        <v>1531</v>
      </c>
      <c r="B47" s="733"/>
      <c r="C47" s="389"/>
      <c r="D47" s="109"/>
      <c r="E47" s="109"/>
      <c r="F47" s="109"/>
      <c r="G47" s="109"/>
      <c r="H47" s="109"/>
      <c r="I47" s="109"/>
      <c r="J47" s="173">
        <f t="shared" si="3"/>
        <v>0</v>
      </c>
      <c r="K47" s="173">
        <f t="shared" si="4"/>
        <v>0</v>
      </c>
      <c r="L47" s="109"/>
      <c r="M47" s="110"/>
      <c r="N47" s="128"/>
    </row>
    <row r="48" spans="1:14" ht="13.5" customHeight="1" x14ac:dyDescent="0.25">
      <c r="A48" s="840" t="s">
        <v>1532</v>
      </c>
      <c r="B48" s="733"/>
      <c r="C48" s="389"/>
      <c r="D48" s="109"/>
      <c r="E48" s="109"/>
      <c r="F48" s="109"/>
      <c r="G48" s="109"/>
      <c r="H48" s="109"/>
      <c r="I48" s="109"/>
      <c r="J48" s="173">
        <f t="shared" si="3"/>
        <v>0</v>
      </c>
      <c r="K48" s="173">
        <f t="shared" si="4"/>
        <v>0</v>
      </c>
      <c r="L48" s="109"/>
      <c r="M48" s="110"/>
      <c r="N48" s="128"/>
    </row>
    <row r="49" spans="1:14" ht="13.5" customHeight="1" x14ac:dyDescent="0.25">
      <c r="A49" s="840" t="s">
        <v>1533</v>
      </c>
      <c r="B49" s="733"/>
      <c r="C49" s="389"/>
      <c r="D49" s="109"/>
      <c r="E49" s="109"/>
      <c r="F49" s="109"/>
      <c r="G49" s="109"/>
      <c r="H49" s="109"/>
      <c r="I49" s="109"/>
      <c r="J49" s="173">
        <f t="shared" si="3"/>
        <v>0</v>
      </c>
      <c r="K49" s="173">
        <f t="shared" si="4"/>
        <v>0</v>
      </c>
      <c r="L49" s="109"/>
      <c r="M49" s="110"/>
      <c r="N49" s="128"/>
    </row>
    <row r="50" spans="1:14" ht="13.5" customHeight="1" x14ac:dyDescent="0.25">
      <c r="A50" s="721" t="s">
        <v>619</v>
      </c>
      <c r="B50" s="733"/>
      <c r="C50" s="722">
        <f t="shared" ref="C50:M50" si="9">SUM(C51:C55)</f>
        <v>560766</v>
      </c>
      <c r="D50" s="270">
        <f t="shared" si="9"/>
        <v>0</v>
      </c>
      <c r="E50" s="270">
        <f t="shared" si="9"/>
        <v>0</v>
      </c>
      <c r="F50" s="270">
        <f t="shared" si="9"/>
        <v>0</v>
      </c>
      <c r="G50" s="270">
        <f t="shared" si="9"/>
        <v>0</v>
      </c>
      <c r="H50" s="270">
        <f t="shared" si="9"/>
        <v>0</v>
      </c>
      <c r="I50" s="270">
        <f t="shared" si="9"/>
        <v>0</v>
      </c>
      <c r="J50" s="270">
        <f t="shared" si="3"/>
        <v>0</v>
      </c>
      <c r="K50" s="270">
        <f t="shared" si="4"/>
        <v>560766</v>
      </c>
      <c r="L50" s="270">
        <f t="shared" si="9"/>
        <v>591608.13</v>
      </c>
      <c r="M50" s="271">
        <f t="shared" si="9"/>
        <v>624146.57715000003</v>
      </c>
      <c r="N50" s="128"/>
    </row>
    <row r="51" spans="1:14" ht="13.5" customHeight="1" x14ac:dyDescent="0.25">
      <c r="A51" s="840" t="s">
        <v>1534</v>
      </c>
      <c r="B51" s="733"/>
      <c r="C51" s="389"/>
      <c r="D51" s="109"/>
      <c r="E51" s="109"/>
      <c r="F51" s="109"/>
      <c r="G51" s="109"/>
      <c r="H51" s="109"/>
      <c r="I51" s="109"/>
      <c r="J51" s="173">
        <f t="shared" si="3"/>
        <v>0</v>
      </c>
      <c r="K51" s="173">
        <f t="shared" si="4"/>
        <v>0</v>
      </c>
      <c r="L51" s="109"/>
      <c r="M51" s="110"/>
      <c r="N51" s="128"/>
    </row>
    <row r="52" spans="1:14" ht="13.5" customHeight="1" x14ac:dyDescent="0.25">
      <c r="A52" s="840" t="s">
        <v>1535</v>
      </c>
      <c r="B52" s="733"/>
      <c r="C52" s="389"/>
      <c r="D52" s="109"/>
      <c r="E52" s="109"/>
      <c r="F52" s="109"/>
      <c r="G52" s="109"/>
      <c r="H52" s="109"/>
      <c r="I52" s="109"/>
      <c r="J52" s="173">
        <f t="shared" si="3"/>
        <v>0</v>
      </c>
      <c r="K52" s="173">
        <f t="shared" si="4"/>
        <v>0</v>
      </c>
      <c r="L52" s="109"/>
      <c r="M52" s="110"/>
      <c r="N52" s="128"/>
    </row>
    <row r="53" spans="1:14" ht="13.5" customHeight="1" x14ac:dyDescent="0.25">
      <c r="A53" s="840" t="s">
        <v>1536</v>
      </c>
      <c r="B53" s="733"/>
      <c r="C53" s="389"/>
      <c r="D53" s="109"/>
      <c r="E53" s="109"/>
      <c r="F53" s="109"/>
      <c r="G53" s="109"/>
      <c r="H53" s="109"/>
      <c r="I53" s="109"/>
      <c r="J53" s="173">
        <f t="shared" si="3"/>
        <v>0</v>
      </c>
      <c r="K53" s="173">
        <f t="shared" si="4"/>
        <v>0</v>
      </c>
      <c r="L53" s="109"/>
      <c r="M53" s="110"/>
      <c r="N53" s="128"/>
    </row>
    <row r="54" spans="1:14" ht="13.5" customHeight="1" x14ac:dyDescent="0.25">
      <c r="A54" s="840" t="s">
        <v>1537</v>
      </c>
      <c r="B54" s="733"/>
      <c r="C54" s="389">
        <v>560766</v>
      </c>
      <c r="D54" s="109"/>
      <c r="E54" s="109"/>
      <c r="F54" s="109"/>
      <c r="G54" s="109"/>
      <c r="H54" s="109"/>
      <c r="I54" s="109"/>
      <c r="J54" s="173">
        <f t="shared" si="3"/>
        <v>0</v>
      </c>
      <c r="K54" s="173">
        <f t="shared" si="4"/>
        <v>560766</v>
      </c>
      <c r="L54" s="109">
        <v>591608.13</v>
      </c>
      <c r="M54" s="110">
        <v>624146.57715000003</v>
      </c>
      <c r="N54" s="128"/>
    </row>
    <row r="55" spans="1:14" ht="13.5" customHeight="1" x14ac:dyDescent="0.25">
      <c r="A55" s="840" t="s">
        <v>1538</v>
      </c>
      <c r="B55" s="733"/>
      <c r="C55" s="389"/>
      <c r="D55" s="109"/>
      <c r="E55" s="109"/>
      <c r="F55" s="109"/>
      <c r="G55" s="109"/>
      <c r="H55" s="109"/>
      <c r="I55" s="109"/>
      <c r="J55" s="173">
        <f t="shared" si="3"/>
        <v>0</v>
      </c>
      <c r="K55" s="173">
        <f t="shared" si="4"/>
        <v>0</v>
      </c>
      <c r="L55" s="109"/>
      <c r="M55" s="110"/>
      <c r="N55" s="128"/>
    </row>
    <row r="56" spans="1:14" ht="13.5" customHeight="1" x14ac:dyDescent="0.25">
      <c r="A56" s="721" t="s">
        <v>620</v>
      </c>
      <c r="B56" s="733"/>
      <c r="C56" s="722">
        <f t="shared" ref="C56:M56" si="10">SUM(C57:C64)</f>
        <v>4001000</v>
      </c>
      <c r="D56" s="270">
        <f t="shared" si="10"/>
        <v>0</v>
      </c>
      <c r="E56" s="270">
        <f t="shared" si="10"/>
        <v>0</v>
      </c>
      <c r="F56" s="270">
        <f t="shared" si="10"/>
        <v>0</v>
      </c>
      <c r="G56" s="270">
        <f t="shared" si="10"/>
        <v>0</v>
      </c>
      <c r="H56" s="270">
        <f t="shared" si="10"/>
        <v>0</v>
      </c>
      <c r="I56" s="270">
        <f t="shared" si="10"/>
        <v>0</v>
      </c>
      <c r="J56" s="270">
        <f t="shared" si="3"/>
        <v>0</v>
      </c>
      <c r="K56" s="270">
        <f t="shared" si="4"/>
        <v>4001000</v>
      </c>
      <c r="L56" s="270">
        <f t="shared" si="10"/>
        <v>4221055</v>
      </c>
      <c r="M56" s="271">
        <f t="shared" si="10"/>
        <v>4453213.0250000004</v>
      </c>
      <c r="N56" s="128"/>
    </row>
    <row r="57" spans="1:14" ht="13.5" customHeight="1" x14ac:dyDescent="0.25">
      <c r="A57" s="840" t="s">
        <v>1007</v>
      </c>
      <c r="B57" s="733"/>
      <c r="C57" s="389">
        <v>4001000</v>
      </c>
      <c r="D57" s="109"/>
      <c r="E57" s="109"/>
      <c r="F57" s="109"/>
      <c r="G57" s="109"/>
      <c r="H57" s="109"/>
      <c r="I57" s="109"/>
      <c r="J57" s="173">
        <f t="shared" si="3"/>
        <v>0</v>
      </c>
      <c r="K57" s="173">
        <f t="shared" si="4"/>
        <v>4001000</v>
      </c>
      <c r="L57" s="109">
        <v>4221055</v>
      </c>
      <c r="M57" s="110">
        <v>4453213.0250000004</v>
      </c>
      <c r="N57" s="128"/>
    </row>
    <row r="58" spans="1:14" ht="13.5" customHeight="1" x14ac:dyDescent="0.25">
      <c r="A58" s="840" t="s">
        <v>1539</v>
      </c>
      <c r="B58" s="733"/>
      <c r="C58" s="389"/>
      <c r="D58" s="109"/>
      <c r="E58" s="109"/>
      <c r="F58" s="109"/>
      <c r="G58" s="109"/>
      <c r="H58" s="109"/>
      <c r="I58" s="109"/>
      <c r="J58" s="173">
        <f t="shared" si="3"/>
        <v>0</v>
      </c>
      <c r="K58" s="173">
        <f t="shared" si="4"/>
        <v>0</v>
      </c>
      <c r="L58" s="109"/>
      <c r="M58" s="110"/>
      <c r="N58" s="128"/>
    </row>
    <row r="59" spans="1:14" ht="13.5" customHeight="1" x14ac:dyDescent="0.25">
      <c r="A59" s="840" t="s">
        <v>1540</v>
      </c>
      <c r="B59" s="733"/>
      <c r="C59" s="389"/>
      <c r="D59" s="109"/>
      <c r="E59" s="109"/>
      <c r="F59" s="109"/>
      <c r="G59" s="109"/>
      <c r="H59" s="109"/>
      <c r="I59" s="109"/>
      <c r="J59" s="173">
        <f t="shared" si="3"/>
        <v>0</v>
      </c>
      <c r="K59" s="173">
        <f t="shared" si="4"/>
        <v>0</v>
      </c>
      <c r="L59" s="109"/>
      <c r="M59" s="110"/>
      <c r="N59" s="128"/>
    </row>
    <row r="60" spans="1:14" ht="13.5" customHeight="1" x14ac:dyDescent="0.25">
      <c r="A60" s="840" t="s">
        <v>1541</v>
      </c>
      <c r="B60" s="733"/>
      <c r="C60" s="389"/>
      <c r="D60" s="109"/>
      <c r="E60" s="109"/>
      <c r="F60" s="109"/>
      <c r="G60" s="109"/>
      <c r="H60" s="109"/>
      <c r="I60" s="109"/>
      <c r="J60" s="173">
        <f t="shared" si="3"/>
        <v>0</v>
      </c>
      <c r="K60" s="173">
        <f t="shared" si="4"/>
        <v>0</v>
      </c>
      <c r="L60" s="109"/>
      <c r="M60" s="110"/>
      <c r="N60" s="128"/>
    </row>
    <row r="61" spans="1:14" ht="13.5" customHeight="1" x14ac:dyDescent="0.25">
      <c r="A61" s="840" t="s">
        <v>1542</v>
      </c>
      <c r="B61" s="733"/>
      <c r="C61" s="389"/>
      <c r="D61" s="109"/>
      <c r="E61" s="109"/>
      <c r="F61" s="109"/>
      <c r="G61" s="109"/>
      <c r="H61" s="109"/>
      <c r="I61" s="109"/>
      <c r="J61" s="173">
        <f t="shared" si="3"/>
        <v>0</v>
      </c>
      <c r="K61" s="173">
        <f t="shared" si="4"/>
        <v>0</v>
      </c>
      <c r="L61" s="109"/>
      <c r="M61" s="110"/>
      <c r="N61" s="128"/>
    </row>
    <row r="62" spans="1:14" ht="13.5" customHeight="1" x14ac:dyDescent="0.25">
      <c r="A62" s="840" t="s">
        <v>1543</v>
      </c>
      <c r="B62" s="733"/>
      <c r="C62" s="389"/>
      <c r="D62" s="109"/>
      <c r="E62" s="109"/>
      <c r="F62" s="109"/>
      <c r="G62" s="109"/>
      <c r="H62" s="109"/>
      <c r="I62" s="109"/>
      <c r="J62" s="173">
        <f t="shared" si="3"/>
        <v>0</v>
      </c>
      <c r="K62" s="173">
        <f t="shared" si="4"/>
        <v>0</v>
      </c>
      <c r="L62" s="109"/>
      <c r="M62" s="110"/>
      <c r="N62" s="128"/>
    </row>
    <row r="63" spans="1:14" ht="13.5" customHeight="1" x14ac:dyDescent="0.25">
      <c r="A63" s="840" t="s">
        <v>1561</v>
      </c>
      <c r="B63" s="733"/>
      <c r="C63" s="389"/>
      <c r="D63" s="109"/>
      <c r="E63" s="109"/>
      <c r="F63" s="109"/>
      <c r="G63" s="109"/>
      <c r="H63" s="109"/>
      <c r="I63" s="109"/>
      <c r="J63" s="173">
        <f>SUM(E63:I63)</f>
        <v>0</v>
      </c>
      <c r="K63" s="173">
        <f>IF(D63=0,C63+J63,D63+J63)</f>
        <v>0</v>
      </c>
      <c r="L63" s="109"/>
      <c r="M63" s="110"/>
      <c r="N63" s="128"/>
    </row>
    <row r="64" spans="1:14" ht="13.5" customHeight="1" x14ac:dyDescent="0.25">
      <c r="A64" s="840" t="s">
        <v>1562</v>
      </c>
      <c r="B64" s="733"/>
      <c r="C64" s="389"/>
      <c r="D64" s="109"/>
      <c r="E64" s="109"/>
      <c r="F64" s="109"/>
      <c r="G64" s="109"/>
      <c r="H64" s="109"/>
      <c r="I64" s="109"/>
      <c r="J64" s="173">
        <f t="shared" si="3"/>
        <v>0</v>
      </c>
      <c r="K64" s="173">
        <f t="shared" si="4"/>
        <v>0</v>
      </c>
      <c r="L64" s="109"/>
      <c r="M64" s="110"/>
      <c r="N64" s="128"/>
    </row>
    <row r="65" spans="1:14" ht="13.5" customHeight="1" x14ac:dyDescent="0.25">
      <c r="A65" s="721" t="s">
        <v>621</v>
      </c>
      <c r="B65" s="733"/>
      <c r="C65" s="722">
        <f>SUM(C66:C67)</f>
        <v>2265225</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2265225</v>
      </c>
      <c r="L65" s="270">
        <f>SUM(L66:L67)</f>
        <v>2389812.375</v>
      </c>
      <c r="M65" s="271">
        <f>SUM(M66:M67)</f>
        <v>2521252.055625</v>
      </c>
      <c r="N65" s="128"/>
    </row>
    <row r="66" spans="1:14" ht="13.5" customHeight="1" x14ac:dyDescent="0.25">
      <c r="A66" s="840" t="s">
        <v>621</v>
      </c>
      <c r="B66" s="733"/>
      <c r="C66" s="389">
        <v>2265225</v>
      </c>
      <c r="D66" s="109"/>
      <c r="E66" s="109"/>
      <c r="F66" s="109"/>
      <c r="G66" s="109"/>
      <c r="H66" s="109"/>
      <c r="I66" s="109"/>
      <c r="J66" s="173">
        <f t="shared" si="3"/>
        <v>0</v>
      </c>
      <c r="K66" s="173">
        <f t="shared" si="4"/>
        <v>2265225</v>
      </c>
      <c r="L66" s="109">
        <v>2389812.375</v>
      </c>
      <c r="M66" s="110">
        <v>2521252.055625</v>
      </c>
      <c r="N66" s="128"/>
    </row>
    <row r="67" spans="1:14" ht="13.5" customHeight="1" x14ac:dyDescent="0.25">
      <c r="A67" s="840" t="s">
        <v>1544</v>
      </c>
      <c r="B67" s="733"/>
      <c r="C67" s="389"/>
      <c r="D67" s="109"/>
      <c r="E67" s="109"/>
      <c r="F67" s="109"/>
      <c r="G67" s="109"/>
      <c r="H67" s="109"/>
      <c r="I67" s="109"/>
      <c r="J67" s="173">
        <f t="shared" si="3"/>
        <v>0</v>
      </c>
      <c r="K67" s="173">
        <f t="shared" si="4"/>
        <v>0</v>
      </c>
      <c r="L67" s="109"/>
      <c r="M67" s="110"/>
      <c r="N67" s="128"/>
    </row>
    <row r="68" spans="1:14" ht="13.5" customHeight="1" x14ac:dyDescent="0.25">
      <c r="A68" s="721" t="s">
        <v>622</v>
      </c>
      <c r="B68" s="733"/>
      <c r="C68" s="722">
        <f>SUM(C69:C75)</f>
        <v>25000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25000</v>
      </c>
      <c r="L68" s="270">
        <f>SUM(L69:L75)</f>
        <v>26375</v>
      </c>
      <c r="M68" s="271">
        <f>SUM(M69:M75)</f>
        <v>27825.625</v>
      </c>
      <c r="N68" s="128"/>
    </row>
    <row r="69" spans="1:14" ht="13.5" customHeight="1" x14ac:dyDescent="0.25">
      <c r="A69" s="840" t="s">
        <v>261</v>
      </c>
      <c r="B69" s="733"/>
      <c r="C69" s="389"/>
      <c r="D69" s="109"/>
      <c r="E69" s="109"/>
      <c r="F69" s="109"/>
      <c r="G69" s="109"/>
      <c r="H69" s="109"/>
      <c r="I69" s="109"/>
      <c r="J69" s="173">
        <f t="shared" si="3"/>
        <v>0</v>
      </c>
      <c r="K69" s="173">
        <f t="shared" si="4"/>
        <v>0</v>
      </c>
      <c r="L69" s="109"/>
      <c r="M69" s="110"/>
      <c r="N69" s="128"/>
    </row>
    <row r="70" spans="1:14" ht="13.5" customHeight="1" x14ac:dyDescent="0.25">
      <c r="A70" s="840" t="s">
        <v>1545</v>
      </c>
      <c r="B70" s="733"/>
      <c r="C70" s="389">
        <v>25000</v>
      </c>
      <c r="D70" s="109"/>
      <c r="E70" s="109"/>
      <c r="F70" s="109"/>
      <c r="G70" s="109"/>
      <c r="H70" s="109"/>
      <c r="I70" s="109"/>
      <c r="J70" s="173">
        <f t="shared" si="3"/>
        <v>0</v>
      </c>
      <c r="K70" s="173">
        <f t="shared" si="4"/>
        <v>25000</v>
      </c>
      <c r="L70" s="109">
        <v>26375</v>
      </c>
      <c r="M70" s="110">
        <v>27825.625</v>
      </c>
      <c r="N70" s="128"/>
    </row>
    <row r="71" spans="1:14" ht="13.5" customHeight="1" x14ac:dyDescent="0.25">
      <c r="A71" s="840" t="s">
        <v>1546</v>
      </c>
      <c r="B71" s="733"/>
      <c r="C71" s="389"/>
      <c r="D71" s="109"/>
      <c r="E71" s="109"/>
      <c r="F71" s="109"/>
      <c r="G71" s="109"/>
      <c r="H71" s="109"/>
      <c r="I71" s="109"/>
      <c r="J71" s="173">
        <f t="shared" si="3"/>
        <v>0</v>
      </c>
      <c r="K71" s="173">
        <f t="shared" si="4"/>
        <v>0</v>
      </c>
      <c r="L71" s="109"/>
      <c r="M71" s="110"/>
      <c r="N71" s="128"/>
    </row>
    <row r="72" spans="1:14" ht="13.5" customHeight="1" x14ac:dyDescent="0.25">
      <c r="A72" s="840" t="s">
        <v>1547</v>
      </c>
      <c r="B72" s="733"/>
      <c r="C72" s="389"/>
      <c r="D72" s="109"/>
      <c r="E72" s="109"/>
      <c r="F72" s="109"/>
      <c r="G72" s="109"/>
      <c r="H72" s="109"/>
      <c r="I72" s="109"/>
      <c r="J72" s="173">
        <f t="shared" si="3"/>
        <v>0</v>
      </c>
      <c r="K72" s="173">
        <f t="shared" si="4"/>
        <v>0</v>
      </c>
      <c r="L72" s="109"/>
      <c r="M72" s="110"/>
      <c r="N72" s="128"/>
    </row>
    <row r="73" spans="1:14" ht="13.5" customHeight="1" x14ac:dyDescent="0.25">
      <c r="A73" s="840" t="s">
        <v>1548</v>
      </c>
      <c r="B73" s="733"/>
      <c r="C73" s="389"/>
      <c r="D73" s="109"/>
      <c r="E73" s="109"/>
      <c r="F73" s="109"/>
      <c r="G73" s="109"/>
      <c r="H73" s="109"/>
      <c r="I73" s="109"/>
      <c r="J73" s="173">
        <f t="shared" si="3"/>
        <v>0</v>
      </c>
      <c r="K73" s="173">
        <f t="shared" si="4"/>
        <v>0</v>
      </c>
      <c r="L73" s="109"/>
      <c r="M73" s="110"/>
      <c r="N73" s="128"/>
    </row>
    <row r="74" spans="1:14" ht="13.5" customHeight="1" x14ac:dyDescent="0.25">
      <c r="A74" s="840" t="s">
        <v>1549</v>
      </c>
      <c r="B74" s="733"/>
      <c r="C74" s="389"/>
      <c r="D74" s="109"/>
      <c r="E74" s="109"/>
      <c r="F74" s="109"/>
      <c r="G74" s="109"/>
      <c r="H74" s="109"/>
      <c r="I74" s="109"/>
      <c r="J74" s="173">
        <f t="shared" si="3"/>
        <v>0</v>
      </c>
      <c r="K74" s="173">
        <f t="shared" si="4"/>
        <v>0</v>
      </c>
      <c r="L74" s="109"/>
      <c r="M74" s="110"/>
      <c r="N74" s="128"/>
    </row>
    <row r="75" spans="1:14" ht="13.5" customHeight="1" x14ac:dyDescent="0.25">
      <c r="A75" s="840" t="s">
        <v>1550</v>
      </c>
      <c r="B75" s="733"/>
      <c r="C75" s="389"/>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623</v>
      </c>
      <c r="B76" s="734"/>
      <c r="C76" s="719">
        <f t="shared" ref="C76:I76" si="15">C77+C88+C93</f>
        <v>144563946</v>
      </c>
      <c r="D76" s="718">
        <f t="shared" si="15"/>
        <v>0</v>
      </c>
      <c r="E76" s="718">
        <f t="shared" si="15"/>
        <v>0</v>
      </c>
      <c r="F76" s="718">
        <f t="shared" si="15"/>
        <v>0</v>
      </c>
      <c r="G76" s="718">
        <f t="shared" si="15"/>
        <v>0</v>
      </c>
      <c r="H76" s="718">
        <f t="shared" si="15"/>
        <v>0</v>
      </c>
      <c r="I76" s="718">
        <f t="shared" si="15"/>
        <v>-500000</v>
      </c>
      <c r="J76" s="718">
        <f t="shared" si="13"/>
        <v>-500000</v>
      </c>
      <c r="K76" s="718">
        <f t="shared" si="14"/>
        <v>144063946</v>
      </c>
      <c r="L76" s="718">
        <f>L77+L88+L93</f>
        <v>149385638.03</v>
      </c>
      <c r="M76" s="720">
        <f>M77+M88+M93</f>
        <v>157804383.12165001</v>
      </c>
      <c r="N76" s="128"/>
    </row>
    <row r="77" spans="1:14" ht="13.5" customHeight="1" x14ac:dyDescent="0.25">
      <c r="A77" s="721" t="s">
        <v>624</v>
      </c>
      <c r="B77" s="734"/>
      <c r="C77" s="722">
        <f>SUM(C78:C87)</f>
        <v>563555</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563555</v>
      </c>
      <c r="L77" s="270">
        <f>SUM(L78:L87)</f>
        <v>594550.52500000002</v>
      </c>
      <c r="M77" s="271">
        <f>SUM(M78:M87)</f>
        <v>627250.80387499998</v>
      </c>
      <c r="N77" s="128"/>
    </row>
    <row r="78" spans="1:14" ht="13.5" customHeight="1" x14ac:dyDescent="0.25">
      <c r="A78" s="840" t="s">
        <v>1551</v>
      </c>
      <c r="B78" s="734"/>
      <c r="C78" s="389"/>
      <c r="D78" s="109"/>
      <c r="E78" s="109"/>
      <c r="F78" s="109"/>
      <c r="G78" s="109"/>
      <c r="H78" s="109"/>
      <c r="I78" s="109"/>
      <c r="J78" s="173">
        <f t="shared" si="13"/>
        <v>0</v>
      </c>
      <c r="K78" s="173">
        <f t="shared" si="14"/>
        <v>0</v>
      </c>
      <c r="L78" s="109"/>
      <c r="M78" s="110"/>
      <c r="N78" s="128"/>
    </row>
    <row r="79" spans="1:14" ht="13.5" customHeight="1" x14ac:dyDescent="0.25">
      <c r="A79" s="840" t="s">
        <v>1552</v>
      </c>
      <c r="B79" s="734"/>
      <c r="C79" s="389"/>
      <c r="D79" s="109"/>
      <c r="E79" s="109"/>
      <c r="F79" s="109"/>
      <c r="G79" s="109"/>
      <c r="H79" s="109"/>
      <c r="I79" s="109"/>
      <c r="J79" s="173">
        <f t="shared" si="13"/>
        <v>0</v>
      </c>
      <c r="K79" s="173">
        <f t="shared" si="14"/>
        <v>0</v>
      </c>
      <c r="L79" s="109"/>
      <c r="M79" s="110"/>
      <c r="N79" s="128"/>
    </row>
    <row r="80" spans="1:14" ht="13.5" customHeight="1" x14ac:dyDescent="0.25">
      <c r="A80" s="840" t="s">
        <v>1553</v>
      </c>
      <c r="B80" s="734"/>
      <c r="C80" s="389"/>
      <c r="D80" s="109"/>
      <c r="E80" s="109"/>
      <c r="F80" s="109"/>
      <c r="G80" s="109"/>
      <c r="H80" s="109"/>
      <c r="I80" s="109"/>
      <c r="J80" s="173">
        <f t="shared" si="13"/>
        <v>0</v>
      </c>
      <c r="K80" s="173">
        <f t="shared" si="14"/>
        <v>0</v>
      </c>
      <c r="L80" s="109"/>
      <c r="M80" s="110"/>
      <c r="N80" s="128"/>
    </row>
    <row r="81" spans="1:14" ht="13.5" customHeight="1" x14ac:dyDescent="0.25">
      <c r="A81" s="840" t="s">
        <v>1554</v>
      </c>
      <c r="B81" s="734"/>
      <c r="C81" s="389"/>
      <c r="D81" s="109"/>
      <c r="E81" s="109"/>
      <c r="F81" s="109"/>
      <c r="G81" s="109"/>
      <c r="H81" s="109"/>
      <c r="I81" s="109"/>
      <c r="J81" s="173">
        <f t="shared" si="13"/>
        <v>0</v>
      </c>
      <c r="K81" s="173">
        <f t="shared" si="14"/>
        <v>0</v>
      </c>
      <c r="L81" s="109"/>
      <c r="M81" s="110"/>
      <c r="N81" s="128"/>
    </row>
    <row r="82" spans="1:14" ht="13.5" customHeight="1" x14ac:dyDescent="0.25">
      <c r="A82" s="840" t="s">
        <v>1555</v>
      </c>
      <c r="B82" s="734"/>
      <c r="C82" s="389">
        <v>413555</v>
      </c>
      <c r="D82" s="109"/>
      <c r="E82" s="109"/>
      <c r="F82" s="109"/>
      <c r="G82" s="109"/>
      <c r="H82" s="109"/>
      <c r="I82" s="109"/>
      <c r="J82" s="173">
        <f t="shared" si="13"/>
        <v>0</v>
      </c>
      <c r="K82" s="173">
        <f t="shared" si="14"/>
        <v>413555</v>
      </c>
      <c r="L82" s="109">
        <v>436300.52500000002</v>
      </c>
      <c r="M82" s="110">
        <v>460297.05387499998</v>
      </c>
      <c r="N82" s="128"/>
    </row>
    <row r="83" spans="1:14" ht="13.5" customHeight="1" x14ac:dyDescent="0.25">
      <c r="A83" s="840" t="s">
        <v>1556</v>
      </c>
      <c r="B83" s="734"/>
      <c r="C83" s="389">
        <v>150000</v>
      </c>
      <c r="D83" s="109"/>
      <c r="E83" s="109"/>
      <c r="F83" s="109"/>
      <c r="G83" s="109"/>
      <c r="H83" s="109"/>
      <c r="I83" s="109"/>
      <c r="J83" s="173">
        <f t="shared" si="13"/>
        <v>0</v>
      </c>
      <c r="K83" s="173">
        <f t="shared" si="14"/>
        <v>150000</v>
      </c>
      <c r="L83" s="109">
        <v>158250</v>
      </c>
      <c r="M83" s="110">
        <v>166953.75</v>
      </c>
      <c r="N83" s="128"/>
    </row>
    <row r="84" spans="1:14" ht="13.5" customHeight="1" x14ac:dyDescent="0.25">
      <c r="A84" s="840" t="s">
        <v>1557</v>
      </c>
      <c r="B84" s="734"/>
      <c r="C84" s="389"/>
      <c r="D84" s="109"/>
      <c r="E84" s="109"/>
      <c r="F84" s="109"/>
      <c r="G84" s="109"/>
      <c r="H84" s="109"/>
      <c r="I84" s="109"/>
      <c r="J84" s="173">
        <f t="shared" si="13"/>
        <v>0</v>
      </c>
      <c r="K84" s="173">
        <f t="shared" si="14"/>
        <v>0</v>
      </c>
      <c r="L84" s="109"/>
      <c r="M84" s="110"/>
      <c r="N84" s="128"/>
    </row>
    <row r="85" spans="1:14" ht="13.5" customHeight="1" x14ac:dyDescent="0.25">
      <c r="A85" s="840" t="s">
        <v>1558</v>
      </c>
      <c r="B85" s="734"/>
      <c r="C85" s="389"/>
      <c r="D85" s="109"/>
      <c r="E85" s="109"/>
      <c r="F85" s="109"/>
      <c r="G85" s="109"/>
      <c r="H85" s="109"/>
      <c r="I85" s="109"/>
      <c r="J85" s="173">
        <f t="shared" si="13"/>
        <v>0</v>
      </c>
      <c r="K85" s="173">
        <f t="shared" si="14"/>
        <v>0</v>
      </c>
      <c r="L85" s="109"/>
      <c r="M85" s="110"/>
      <c r="N85" s="128"/>
    </row>
    <row r="86" spans="1:14" ht="13.5" customHeight="1" x14ac:dyDescent="0.25">
      <c r="A86" s="840" t="s">
        <v>1559</v>
      </c>
      <c r="B86" s="734"/>
      <c r="C86" s="389"/>
      <c r="D86" s="109"/>
      <c r="E86" s="109"/>
      <c r="F86" s="109"/>
      <c r="G86" s="109"/>
      <c r="H86" s="109"/>
      <c r="I86" s="109"/>
      <c r="J86" s="173">
        <f t="shared" si="13"/>
        <v>0</v>
      </c>
      <c r="K86" s="173">
        <f t="shared" si="14"/>
        <v>0</v>
      </c>
      <c r="L86" s="109"/>
      <c r="M86" s="110"/>
      <c r="N86" s="128"/>
    </row>
    <row r="87" spans="1:14" ht="13.5" customHeight="1" x14ac:dyDescent="0.25">
      <c r="A87" s="840" t="s">
        <v>1560</v>
      </c>
      <c r="B87" s="734"/>
      <c r="C87" s="389"/>
      <c r="D87" s="109"/>
      <c r="E87" s="109"/>
      <c r="F87" s="109"/>
      <c r="G87" s="109"/>
      <c r="H87" s="109"/>
      <c r="I87" s="109"/>
      <c r="J87" s="173">
        <f t="shared" si="13"/>
        <v>0</v>
      </c>
      <c r="K87" s="173">
        <f t="shared" si="14"/>
        <v>0</v>
      </c>
      <c r="L87" s="109"/>
      <c r="M87" s="110"/>
      <c r="N87" s="128"/>
    </row>
    <row r="88" spans="1:14" ht="13.5" customHeight="1" x14ac:dyDescent="0.25">
      <c r="A88" s="721" t="s">
        <v>625</v>
      </c>
      <c r="B88" s="734"/>
      <c r="C88" s="722">
        <f t="shared" ref="C88:I88" si="17">SUM(C89:C92)</f>
        <v>144000391</v>
      </c>
      <c r="D88" s="270">
        <f t="shared" si="17"/>
        <v>0</v>
      </c>
      <c r="E88" s="270">
        <f t="shared" si="17"/>
        <v>0</v>
      </c>
      <c r="F88" s="270">
        <f t="shared" si="17"/>
        <v>0</v>
      </c>
      <c r="G88" s="270">
        <f t="shared" si="17"/>
        <v>0</v>
      </c>
      <c r="H88" s="270">
        <f t="shared" si="17"/>
        <v>0</v>
      </c>
      <c r="I88" s="270">
        <f t="shared" si="17"/>
        <v>-500000</v>
      </c>
      <c r="J88" s="270">
        <f t="shared" si="13"/>
        <v>-500000</v>
      </c>
      <c r="K88" s="270">
        <f t="shared" si="14"/>
        <v>143500391</v>
      </c>
      <c r="L88" s="270">
        <f>SUM(L89:L92)</f>
        <v>148791087.505</v>
      </c>
      <c r="M88" s="271">
        <f>SUM(M89:M92)</f>
        <v>157177132.31777501</v>
      </c>
      <c r="N88" s="128"/>
    </row>
    <row r="89" spans="1:14" ht="13.5" customHeight="1" x14ac:dyDescent="0.25">
      <c r="A89" s="840" t="s">
        <v>1563</v>
      </c>
      <c r="B89" s="734"/>
      <c r="C89" s="389"/>
      <c r="D89" s="109"/>
      <c r="E89" s="109"/>
      <c r="F89" s="109"/>
      <c r="G89" s="109"/>
      <c r="H89" s="109"/>
      <c r="I89" s="109"/>
      <c r="J89" s="173">
        <f t="shared" si="13"/>
        <v>0</v>
      </c>
      <c r="K89" s="173">
        <f t="shared" si="14"/>
        <v>0</v>
      </c>
      <c r="L89" s="109"/>
      <c r="M89" s="110"/>
      <c r="N89" s="128"/>
    </row>
    <row r="90" spans="1:14" ht="13.5" customHeight="1" x14ac:dyDescent="0.25">
      <c r="A90" s="840" t="s">
        <v>1564</v>
      </c>
      <c r="B90" s="734"/>
      <c r="C90" s="389"/>
      <c r="D90" s="109"/>
      <c r="E90" s="109"/>
      <c r="F90" s="109"/>
      <c r="G90" s="109"/>
      <c r="H90" s="109"/>
      <c r="I90" s="109"/>
      <c r="J90" s="173">
        <f t="shared" si="13"/>
        <v>0</v>
      </c>
      <c r="K90" s="173">
        <f t="shared" si="14"/>
        <v>0</v>
      </c>
      <c r="L90" s="109"/>
      <c r="M90" s="110"/>
      <c r="N90" s="128"/>
    </row>
    <row r="91" spans="1:14" ht="13.5" customHeight="1" x14ac:dyDescent="0.25">
      <c r="A91" s="840" t="s">
        <v>1008</v>
      </c>
      <c r="B91" s="734"/>
      <c r="C91" s="389">
        <v>144000391</v>
      </c>
      <c r="D91" s="109"/>
      <c r="E91" s="109"/>
      <c r="F91" s="109"/>
      <c r="G91" s="109"/>
      <c r="H91" s="109"/>
      <c r="I91" s="109">
        <v>-500000</v>
      </c>
      <c r="J91" s="173">
        <f t="shared" si="13"/>
        <v>-500000</v>
      </c>
      <c r="K91" s="173">
        <f t="shared" si="14"/>
        <v>143500391</v>
      </c>
      <c r="L91" s="109">
        <v>148791087.505</v>
      </c>
      <c r="M91" s="110">
        <v>157177132.31777501</v>
      </c>
      <c r="N91" s="128"/>
    </row>
    <row r="92" spans="1:14" ht="13.5" customHeight="1" x14ac:dyDescent="0.25">
      <c r="A92" s="840" t="s">
        <v>1565</v>
      </c>
      <c r="B92" s="734"/>
      <c r="C92" s="389"/>
      <c r="D92" s="109"/>
      <c r="E92" s="109"/>
      <c r="F92" s="109"/>
      <c r="G92" s="109"/>
      <c r="H92" s="109"/>
      <c r="I92" s="109"/>
      <c r="J92" s="173">
        <f t="shared" si="13"/>
        <v>0</v>
      </c>
      <c r="K92" s="173">
        <f t="shared" si="14"/>
        <v>0</v>
      </c>
      <c r="L92" s="109"/>
      <c r="M92" s="110"/>
      <c r="N92" s="128"/>
    </row>
    <row r="93" spans="1:14" ht="13.5" customHeight="1" x14ac:dyDescent="0.25">
      <c r="A93" s="721" t="s">
        <v>626</v>
      </c>
      <c r="B93" s="734"/>
      <c r="C93" s="722">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40" t="s">
        <v>1566</v>
      </c>
      <c r="B94" s="734"/>
      <c r="C94" s="389"/>
      <c r="D94" s="109"/>
      <c r="E94" s="109"/>
      <c r="F94" s="109"/>
      <c r="G94" s="109"/>
      <c r="H94" s="109"/>
      <c r="I94" s="109"/>
      <c r="J94" s="173">
        <f t="shared" si="13"/>
        <v>0</v>
      </c>
      <c r="K94" s="173">
        <f t="shared" si="14"/>
        <v>0</v>
      </c>
      <c r="L94" s="109"/>
      <c r="M94" s="110"/>
      <c r="N94" s="128"/>
    </row>
    <row r="95" spans="1:14" ht="13.5" customHeight="1" x14ac:dyDescent="0.25">
      <c r="A95" s="840" t="s">
        <v>1567</v>
      </c>
      <c r="B95" s="734"/>
      <c r="C95" s="389"/>
      <c r="D95" s="109"/>
      <c r="E95" s="109"/>
      <c r="F95" s="109"/>
      <c r="G95" s="109"/>
      <c r="H95" s="109"/>
      <c r="I95" s="109"/>
      <c r="J95" s="173">
        <f t="shared" si="13"/>
        <v>0</v>
      </c>
      <c r="K95" s="173">
        <f t="shared" si="14"/>
        <v>0</v>
      </c>
      <c r="L95" s="109"/>
      <c r="M95" s="110"/>
      <c r="N95" s="128"/>
    </row>
    <row r="96" spans="1:14" ht="13.5" customHeight="1" x14ac:dyDescent="0.25">
      <c r="A96" s="840" t="s">
        <v>1568</v>
      </c>
      <c r="B96" s="734"/>
      <c r="C96" s="389"/>
      <c r="D96" s="109"/>
      <c r="E96" s="109"/>
      <c r="F96" s="109"/>
      <c r="G96" s="109"/>
      <c r="H96" s="109"/>
      <c r="I96" s="109"/>
      <c r="J96" s="173">
        <f t="shared" si="13"/>
        <v>0</v>
      </c>
      <c r="K96" s="173">
        <f t="shared" si="14"/>
        <v>0</v>
      </c>
      <c r="L96" s="109"/>
      <c r="M96" s="110"/>
      <c r="N96" s="128"/>
    </row>
    <row r="97" spans="1:14" ht="13.5" customHeight="1" x14ac:dyDescent="0.25">
      <c r="A97" s="840" t="s">
        <v>1569</v>
      </c>
      <c r="B97" s="734"/>
      <c r="C97" s="389"/>
      <c r="D97" s="109"/>
      <c r="E97" s="109"/>
      <c r="F97" s="109"/>
      <c r="G97" s="109"/>
      <c r="H97" s="109"/>
      <c r="I97" s="109"/>
      <c r="J97" s="173">
        <f t="shared" si="13"/>
        <v>0</v>
      </c>
      <c r="K97" s="173">
        <f t="shared" si="14"/>
        <v>0</v>
      </c>
      <c r="L97" s="109"/>
      <c r="M97" s="110"/>
      <c r="N97" s="128"/>
    </row>
    <row r="98" spans="1:14" ht="13.5" customHeight="1" x14ac:dyDescent="0.25">
      <c r="A98" s="840" t="s">
        <v>1009</v>
      </c>
      <c r="B98" s="734"/>
      <c r="C98" s="389"/>
      <c r="D98" s="109"/>
      <c r="E98" s="109"/>
      <c r="F98" s="109"/>
      <c r="G98" s="109"/>
      <c r="H98" s="109"/>
      <c r="I98" s="109"/>
      <c r="J98" s="173">
        <f t="shared" si="13"/>
        <v>0</v>
      </c>
      <c r="K98" s="173">
        <f t="shared" si="14"/>
        <v>0</v>
      </c>
      <c r="L98" s="109"/>
      <c r="M98" s="110"/>
      <c r="N98" s="128"/>
    </row>
    <row r="99" spans="1:14" ht="13.5" customHeight="1" x14ac:dyDescent="0.25">
      <c r="A99" s="840" t="s">
        <v>1570</v>
      </c>
      <c r="B99" s="734"/>
      <c r="C99" s="389"/>
      <c r="D99" s="109"/>
      <c r="E99" s="109"/>
      <c r="F99" s="109"/>
      <c r="G99" s="109"/>
      <c r="H99" s="109"/>
      <c r="I99" s="109"/>
      <c r="J99" s="173">
        <f t="shared" si="13"/>
        <v>0</v>
      </c>
      <c r="K99" s="173">
        <f t="shared" si="14"/>
        <v>0</v>
      </c>
      <c r="L99" s="109"/>
      <c r="M99" s="110"/>
      <c r="N99" s="128"/>
    </row>
    <row r="100" spans="1:14" ht="13.5" customHeight="1" x14ac:dyDescent="0.25">
      <c r="A100" s="107" t="s">
        <v>627</v>
      </c>
      <c r="B100" s="734"/>
      <c r="C100" s="719">
        <f>C101+C105+C109+C114</f>
        <v>575089000</v>
      </c>
      <c r="D100" s="718">
        <f t="shared" ref="D100:M100" si="19">D101+D105+D109+D114</f>
        <v>0</v>
      </c>
      <c r="E100" s="718">
        <f t="shared" si="19"/>
        <v>0</v>
      </c>
      <c r="F100" s="718">
        <f t="shared" si="19"/>
        <v>0</v>
      </c>
      <c r="G100" s="718">
        <f t="shared" si="19"/>
        <v>0</v>
      </c>
      <c r="H100" s="718">
        <f t="shared" si="19"/>
        <v>0</v>
      </c>
      <c r="I100" s="718">
        <f t="shared" si="19"/>
        <v>0</v>
      </c>
      <c r="J100" s="718">
        <f t="shared" si="13"/>
        <v>0</v>
      </c>
      <c r="K100" s="718">
        <f t="shared" si="14"/>
        <v>575089000</v>
      </c>
      <c r="L100" s="718">
        <f t="shared" si="19"/>
        <v>598031065</v>
      </c>
      <c r="M100" s="720">
        <f t="shared" si="19"/>
        <v>626387773.57499993</v>
      </c>
      <c r="N100" s="128"/>
    </row>
    <row r="101" spans="1:14" ht="13.5" customHeight="1" x14ac:dyDescent="0.25">
      <c r="A101" s="721" t="s">
        <v>1503</v>
      </c>
      <c r="B101" s="734"/>
      <c r="C101" s="722">
        <f>SUM(C102:C104)</f>
        <v>517347000</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517347000</v>
      </c>
      <c r="L101" s="270">
        <f>SUM(L102:L104)</f>
        <v>544925305</v>
      </c>
      <c r="M101" s="271">
        <f>SUM(M102:M104)</f>
        <v>570516196.77499998</v>
      </c>
      <c r="N101" s="128"/>
    </row>
    <row r="102" spans="1:14" ht="13.5" customHeight="1" x14ac:dyDescent="0.25">
      <c r="A102" s="840" t="s">
        <v>1571</v>
      </c>
      <c r="B102" s="734"/>
      <c r="C102" s="389">
        <v>517347000</v>
      </c>
      <c r="D102" s="109"/>
      <c r="E102" s="109"/>
      <c r="F102" s="109"/>
      <c r="G102" s="109"/>
      <c r="H102" s="109"/>
      <c r="I102" s="109"/>
      <c r="J102" s="173">
        <f t="shared" si="13"/>
        <v>0</v>
      </c>
      <c r="K102" s="173">
        <f t="shared" si="14"/>
        <v>517347000</v>
      </c>
      <c r="L102" s="109">
        <v>544925305</v>
      </c>
      <c r="M102" s="110">
        <v>570516196.77499998</v>
      </c>
      <c r="N102" s="128"/>
    </row>
    <row r="103" spans="1:14" ht="13.5" customHeight="1" x14ac:dyDescent="0.25">
      <c r="A103" s="840" t="s">
        <v>1572</v>
      </c>
      <c r="B103" s="734"/>
      <c r="C103" s="389"/>
      <c r="D103" s="109"/>
      <c r="E103" s="109"/>
      <c r="F103" s="109"/>
      <c r="G103" s="109"/>
      <c r="H103" s="109"/>
      <c r="I103" s="109"/>
      <c r="J103" s="173">
        <f t="shared" si="13"/>
        <v>0</v>
      </c>
      <c r="K103" s="173">
        <f t="shared" si="14"/>
        <v>0</v>
      </c>
      <c r="L103" s="109"/>
      <c r="M103" s="110"/>
      <c r="N103" s="128"/>
    </row>
    <row r="104" spans="1:14" ht="13.5" customHeight="1" x14ac:dyDescent="0.25">
      <c r="A104" s="840" t="s">
        <v>1573</v>
      </c>
      <c r="B104" s="734"/>
      <c r="C104" s="389"/>
      <c r="D104" s="109"/>
      <c r="E104" s="109"/>
      <c r="F104" s="109"/>
      <c r="G104" s="109"/>
      <c r="H104" s="109"/>
      <c r="I104" s="109"/>
      <c r="J104" s="173">
        <f t="shared" si="13"/>
        <v>0</v>
      </c>
      <c r="K104" s="173">
        <f t="shared" si="14"/>
        <v>0</v>
      </c>
      <c r="L104" s="109"/>
      <c r="M104" s="110"/>
      <c r="N104" s="128"/>
    </row>
    <row r="105" spans="1:14" ht="13.5" customHeight="1" x14ac:dyDescent="0.25">
      <c r="A105" s="721" t="s">
        <v>1504</v>
      </c>
      <c r="B105" s="734"/>
      <c r="C105" s="722">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40" t="s">
        <v>1574</v>
      </c>
      <c r="B106" s="734"/>
      <c r="C106" s="389"/>
      <c r="D106" s="109"/>
      <c r="E106" s="109"/>
      <c r="F106" s="109"/>
      <c r="G106" s="109"/>
      <c r="H106" s="109"/>
      <c r="I106" s="109"/>
      <c r="J106" s="173">
        <f t="shared" si="13"/>
        <v>0</v>
      </c>
      <c r="K106" s="173">
        <f t="shared" si="14"/>
        <v>0</v>
      </c>
      <c r="L106" s="109"/>
      <c r="M106" s="110"/>
      <c r="N106" s="128"/>
    </row>
    <row r="107" spans="1:14" ht="13.5" customHeight="1" x14ac:dyDescent="0.25">
      <c r="A107" s="840" t="s">
        <v>1010</v>
      </c>
      <c r="B107" s="734"/>
      <c r="C107" s="389"/>
      <c r="D107" s="109"/>
      <c r="E107" s="109"/>
      <c r="F107" s="109"/>
      <c r="G107" s="109"/>
      <c r="H107" s="109"/>
      <c r="I107" s="109"/>
      <c r="J107" s="173">
        <f t="shared" si="13"/>
        <v>0</v>
      </c>
      <c r="K107" s="173">
        <f t="shared" si="14"/>
        <v>0</v>
      </c>
      <c r="L107" s="109"/>
      <c r="M107" s="110"/>
      <c r="N107" s="128"/>
    </row>
    <row r="108" spans="1:14" ht="13.5" customHeight="1" x14ac:dyDescent="0.25">
      <c r="A108" s="840" t="s">
        <v>1011</v>
      </c>
      <c r="B108" s="734"/>
      <c r="C108" s="389"/>
      <c r="D108" s="109"/>
      <c r="E108" s="109"/>
      <c r="F108" s="109"/>
      <c r="G108" s="109"/>
      <c r="H108" s="109"/>
      <c r="I108" s="109"/>
      <c r="J108" s="173">
        <f t="shared" si="13"/>
        <v>0</v>
      </c>
      <c r="K108" s="173">
        <f t="shared" si="14"/>
        <v>0</v>
      </c>
      <c r="L108" s="109"/>
      <c r="M108" s="110"/>
      <c r="N108" s="128"/>
    </row>
    <row r="109" spans="1:14" ht="13.5" customHeight="1" x14ac:dyDescent="0.25">
      <c r="A109" s="721" t="s">
        <v>630</v>
      </c>
      <c r="B109" s="734"/>
      <c r="C109" s="722">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40" t="s">
        <v>1014</v>
      </c>
      <c r="B110" s="734"/>
      <c r="C110" s="389"/>
      <c r="D110" s="109"/>
      <c r="E110" s="109"/>
      <c r="F110" s="109"/>
      <c r="G110" s="109"/>
      <c r="H110" s="109"/>
      <c r="I110" s="109"/>
      <c r="J110" s="173">
        <f t="shared" si="13"/>
        <v>0</v>
      </c>
      <c r="K110" s="173">
        <f t="shared" si="14"/>
        <v>0</v>
      </c>
      <c r="L110" s="109"/>
      <c r="M110" s="110"/>
      <c r="N110" s="128"/>
    </row>
    <row r="111" spans="1:14" ht="13.5" customHeight="1" x14ac:dyDescent="0.25">
      <c r="A111" s="840" t="s">
        <v>1012</v>
      </c>
      <c r="B111" s="734"/>
      <c r="C111" s="389"/>
      <c r="D111" s="109"/>
      <c r="E111" s="109"/>
      <c r="F111" s="109"/>
      <c r="G111" s="109"/>
      <c r="H111" s="109"/>
      <c r="I111" s="109"/>
      <c r="J111" s="173">
        <f t="shared" si="13"/>
        <v>0</v>
      </c>
      <c r="K111" s="173">
        <f t="shared" si="14"/>
        <v>0</v>
      </c>
      <c r="L111" s="109"/>
      <c r="M111" s="110"/>
      <c r="N111" s="128"/>
    </row>
    <row r="112" spans="1:14" ht="13.5" customHeight="1" x14ac:dyDescent="0.25">
      <c r="A112" s="840" t="s">
        <v>1013</v>
      </c>
      <c r="B112" s="734"/>
      <c r="C112" s="389"/>
      <c r="D112" s="109"/>
      <c r="E112" s="109"/>
      <c r="F112" s="109"/>
      <c r="G112" s="109"/>
      <c r="H112" s="109"/>
      <c r="I112" s="109"/>
      <c r="J112" s="173">
        <f t="shared" si="13"/>
        <v>0</v>
      </c>
      <c r="K112" s="173">
        <f t="shared" si="14"/>
        <v>0</v>
      </c>
      <c r="L112" s="109"/>
      <c r="M112" s="110"/>
      <c r="N112" s="128"/>
    </row>
    <row r="113" spans="1:14" ht="13.5" customHeight="1" x14ac:dyDescent="0.25">
      <c r="A113" s="840" t="s">
        <v>1575</v>
      </c>
      <c r="B113" s="734"/>
      <c r="C113" s="389"/>
      <c r="D113" s="109"/>
      <c r="E113" s="109"/>
      <c r="F113" s="109"/>
      <c r="G113" s="109"/>
      <c r="H113" s="109"/>
      <c r="I113" s="109"/>
      <c r="J113" s="173">
        <f t="shared" si="13"/>
        <v>0</v>
      </c>
      <c r="K113" s="173">
        <f t="shared" si="14"/>
        <v>0</v>
      </c>
      <c r="L113" s="109"/>
      <c r="M113" s="110"/>
      <c r="N113" s="128"/>
    </row>
    <row r="114" spans="1:14" ht="13.5" customHeight="1" x14ac:dyDescent="0.25">
      <c r="A114" s="721" t="s">
        <v>631</v>
      </c>
      <c r="B114" s="734"/>
      <c r="C114" s="722">
        <f>SUM(C115:C118)</f>
        <v>57742000</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57742000</v>
      </c>
      <c r="L114" s="270">
        <f t="shared" si="23"/>
        <v>53105760</v>
      </c>
      <c r="M114" s="271">
        <f>SUM(M115:M118)</f>
        <v>55871576.799999997</v>
      </c>
      <c r="N114" s="128"/>
    </row>
    <row r="115" spans="1:14" ht="13.5" customHeight="1" x14ac:dyDescent="0.25">
      <c r="A115" s="840" t="s">
        <v>1576</v>
      </c>
      <c r="B115" s="734"/>
      <c r="C115" s="389"/>
      <c r="D115" s="109"/>
      <c r="E115" s="109"/>
      <c r="F115" s="109"/>
      <c r="G115" s="109"/>
      <c r="H115" s="109"/>
      <c r="I115" s="109"/>
      <c r="J115" s="173">
        <f t="shared" si="13"/>
        <v>0</v>
      </c>
      <c r="K115" s="173">
        <f t="shared" si="14"/>
        <v>0</v>
      </c>
      <c r="L115" s="109"/>
      <c r="M115" s="110"/>
      <c r="N115" s="128"/>
    </row>
    <row r="116" spans="1:14" ht="13.5" customHeight="1" x14ac:dyDescent="0.25">
      <c r="A116" s="840" t="s">
        <v>1577</v>
      </c>
      <c r="B116" s="734"/>
      <c r="C116" s="389"/>
      <c r="D116" s="109"/>
      <c r="E116" s="109"/>
      <c r="F116" s="109"/>
      <c r="G116" s="109"/>
      <c r="H116" s="109"/>
      <c r="I116" s="109"/>
      <c r="J116" s="173">
        <f t="shared" si="13"/>
        <v>0</v>
      </c>
      <c r="K116" s="173">
        <f t="shared" si="14"/>
        <v>0</v>
      </c>
      <c r="L116" s="109"/>
      <c r="M116" s="110"/>
      <c r="N116" s="128"/>
    </row>
    <row r="117" spans="1:14" ht="13.5" customHeight="1" x14ac:dyDescent="0.25">
      <c r="A117" s="840" t="s">
        <v>1578</v>
      </c>
      <c r="B117" s="734"/>
      <c r="C117" s="389">
        <v>57742000</v>
      </c>
      <c r="D117" s="109"/>
      <c r="E117" s="109"/>
      <c r="F117" s="109"/>
      <c r="G117" s="109"/>
      <c r="H117" s="109"/>
      <c r="I117" s="109"/>
      <c r="J117" s="173">
        <f t="shared" si="13"/>
        <v>0</v>
      </c>
      <c r="K117" s="173">
        <f t="shared" si="14"/>
        <v>57742000</v>
      </c>
      <c r="L117" s="109">
        <v>53105760</v>
      </c>
      <c r="M117" s="110">
        <v>55871576.799999997</v>
      </c>
      <c r="N117" s="128"/>
    </row>
    <row r="118" spans="1:14" ht="13.5" customHeight="1" x14ac:dyDescent="0.25">
      <c r="A118" s="840" t="s">
        <v>1579</v>
      </c>
      <c r="B118" s="734"/>
      <c r="C118" s="389"/>
      <c r="D118" s="109"/>
      <c r="E118" s="109"/>
      <c r="F118" s="109"/>
      <c r="G118" s="109"/>
      <c r="H118" s="109"/>
      <c r="I118" s="109"/>
      <c r="J118" s="173">
        <f t="shared" si="13"/>
        <v>0</v>
      </c>
      <c r="K118" s="173">
        <f t="shared" si="14"/>
        <v>0</v>
      </c>
      <c r="L118" s="109"/>
      <c r="M118" s="110"/>
      <c r="N118" s="128"/>
    </row>
    <row r="119" spans="1:14" ht="13.5" customHeight="1" x14ac:dyDescent="0.25">
      <c r="A119" s="107" t="s">
        <v>632</v>
      </c>
      <c r="B119" s="734"/>
      <c r="C119" s="719">
        <f t="shared" ref="C119:M119" si="24">SUM(C120:C125)</f>
        <v>0</v>
      </c>
      <c r="D119" s="718">
        <f t="shared" si="24"/>
        <v>0</v>
      </c>
      <c r="E119" s="718">
        <f t="shared" si="24"/>
        <v>0</v>
      </c>
      <c r="F119" s="718">
        <f t="shared" si="24"/>
        <v>0</v>
      </c>
      <c r="G119" s="718">
        <f t="shared" si="24"/>
        <v>0</v>
      </c>
      <c r="H119" s="718">
        <f t="shared" si="24"/>
        <v>0</v>
      </c>
      <c r="I119" s="718">
        <f t="shared" si="24"/>
        <v>0</v>
      </c>
      <c r="J119" s="718">
        <f t="shared" si="13"/>
        <v>0</v>
      </c>
      <c r="K119" s="718">
        <f t="shared" si="14"/>
        <v>0</v>
      </c>
      <c r="L119" s="718">
        <f t="shared" si="24"/>
        <v>0</v>
      </c>
      <c r="M119" s="720">
        <f t="shared" si="24"/>
        <v>0</v>
      </c>
      <c r="N119" s="128"/>
    </row>
    <row r="120" spans="1:14" ht="13.5" customHeight="1" x14ac:dyDescent="0.25">
      <c r="A120" s="721" t="s">
        <v>507</v>
      </c>
      <c r="B120" s="734"/>
      <c r="C120" s="389"/>
      <c r="D120" s="109"/>
      <c r="E120" s="109"/>
      <c r="F120" s="109"/>
      <c r="G120" s="109"/>
      <c r="H120" s="109"/>
      <c r="I120" s="109"/>
      <c r="J120" s="173">
        <f t="shared" si="13"/>
        <v>0</v>
      </c>
      <c r="K120" s="173">
        <f t="shared" si="14"/>
        <v>0</v>
      </c>
      <c r="L120" s="109"/>
      <c r="M120" s="110"/>
      <c r="N120" s="128"/>
    </row>
    <row r="121" spans="1:14" ht="13.5" customHeight="1" x14ac:dyDescent="0.25">
      <c r="A121" s="721" t="s">
        <v>1015</v>
      </c>
      <c r="B121" s="734"/>
      <c r="C121" s="389"/>
      <c r="D121" s="109"/>
      <c r="E121" s="109"/>
      <c r="F121" s="109"/>
      <c r="G121" s="109"/>
      <c r="H121" s="109"/>
      <c r="I121" s="109"/>
      <c r="J121" s="173">
        <f t="shared" si="13"/>
        <v>0</v>
      </c>
      <c r="K121" s="173">
        <f t="shared" si="14"/>
        <v>0</v>
      </c>
      <c r="L121" s="109"/>
      <c r="M121" s="110"/>
      <c r="N121" s="128"/>
    </row>
    <row r="122" spans="1:14" ht="13.5" customHeight="1" x14ac:dyDescent="0.25">
      <c r="A122" s="721" t="s">
        <v>1580</v>
      </c>
      <c r="B122" s="734"/>
      <c r="C122" s="389"/>
      <c r="D122" s="109"/>
      <c r="E122" s="109"/>
      <c r="F122" s="109"/>
      <c r="G122" s="109"/>
      <c r="H122" s="109"/>
      <c r="I122" s="109"/>
      <c r="J122" s="173">
        <f t="shared" si="13"/>
        <v>0</v>
      </c>
      <c r="K122" s="173">
        <f t="shared" si="14"/>
        <v>0</v>
      </c>
      <c r="L122" s="109"/>
      <c r="M122" s="110"/>
      <c r="N122" s="128"/>
    </row>
    <row r="123" spans="1:14" ht="13.5" customHeight="1" x14ac:dyDescent="0.25">
      <c r="A123" s="721" t="s">
        <v>1581</v>
      </c>
      <c r="B123" s="733"/>
      <c r="C123" s="389"/>
      <c r="D123" s="109"/>
      <c r="E123" s="109"/>
      <c r="F123" s="109"/>
      <c r="G123" s="109"/>
      <c r="H123" s="109"/>
      <c r="I123" s="109"/>
      <c r="J123" s="173">
        <f t="shared" si="13"/>
        <v>0</v>
      </c>
      <c r="K123" s="173">
        <f t="shared" si="14"/>
        <v>0</v>
      </c>
      <c r="L123" s="109"/>
      <c r="M123" s="110"/>
      <c r="N123" s="128"/>
    </row>
    <row r="124" spans="1:14" ht="13.5" customHeight="1" x14ac:dyDescent="0.25">
      <c r="A124" s="721" t="s">
        <v>508</v>
      </c>
      <c r="B124" s="733"/>
      <c r="C124" s="389"/>
      <c r="D124" s="109"/>
      <c r="E124" s="109"/>
      <c r="F124" s="109"/>
      <c r="G124" s="109"/>
      <c r="H124" s="109"/>
      <c r="I124" s="109"/>
      <c r="J124" s="173">
        <f t="shared" si="13"/>
        <v>0</v>
      </c>
      <c r="K124" s="173">
        <f t="shared" si="14"/>
        <v>0</v>
      </c>
      <c r="L124" s="109"/>
      <c r="M124" s="110"/>
      <c r="N124" s="128"/>
    </row>
    <row r="125" spans="1:14" ht="13.5" customHeight="1" x14ac:dyDescent="0.25">
      <c r="A125" s="721" t="s">
        <v>1016</v>
      </c>
      <c r="B125" s="733"/>
      <c r="C125" s="389"/>
      <c r="D125" s="109"/>
      <c r="E125" s="109"/>
      <c r="F125" s="109"/>
      <c r="G125" s="109"/>
      <c r="H125" s="109"/>
      <c r="I125" s="109"/>
      <c r="J125" s="173">
        <f t="shared" si="13"/>
        <v>0</v>
      </c>
      <c r="K125" s="173">
        <f t="shared" si="14"/>
        <v>0</v>
      </c>
      <c r="L125" s="109"/>
      <c r="M125" s="110"/>
      <c r="N125" s="128"/>
    </row>
    <row r="126" spans="1:14" ht="13.5" customHeight="1" x14ac:dyDescent="0.25">
      <c r="A126" s="278" t="str">
        <f>"Total "&amp;A6</f>
        <v>Total Revenue - Functional</v>
      </c>
      <c r="B126" s="733">
        <v>2</v>
      </c>
      <c r="C126" s="583">
        <f t="shared" ref="C126:I126" si="25">C7+C27+C76+C100+C119</f>
        <v>1176787573</v>
      </c>
      <c r="D126" s="581">
        <f t="shared" si="25"/>
        <v>0</v>
      </c>
      <c r="E126" s="581">
        <f t="shared" si="25"/>
        <v>0</v>
      </c>
      <c r="F126" s="581">
        <f t="shared" si="25"/>
        <v>0</v>
      </c>
      <c r="G126" s="581">
        <f t="shared" si="25"/>
        <v>0</v>
      </c>
      <c r="H126" s="581">
        <f t="shared" si="25"/>
        <v>0</v>
      </c>
      <c r="I126" s="581">
        <f t="shared" si="25"/>
        <v>-500000</v>
      </c>
      <c r="J126" s="581">
        <f t="shared" si="13"/>
        <v>-500000</v>
      </c>
      <c r="K126" s="581">
        <f t="shared" si="14"/>
        <v>1176287573</v>
      </c>
      <c r="L126" s="581">
        <f>L7+L27+L76+L100+L119</f>
        <v>1250039839.5150001</v>
      </c>
      <c r="M126" s="723">
        <f>M7+M27+M76+M100+M119</f>
        <v>1328249600.6883249</v>
      </c>
      <c r="N126" s="128"/>
    </row>
    <row r="127" spans="1:14" ht="6" customHeight="1" x14ac:dyDescent="0.25">
      <c r="A127" s="277"/>
      <c r="B127" s="733"/>
      <c r="C127" s="240"/>
      <c r="D127" s="75"/>
      <c r="E127" s="75"/>
      <c r="F127" s="75"/>
      <c r="G127" s="75"/>
      <c r="H127" s="75"/>
      <c r="I127" s="75"/>
      <c r="J127" s="171">
        <f t="shared" si="13"/>
        <v>0</v>
      </c>
      <c r="K127" s="171">
        <f t="shared" si="14"/>
        <v>0</v>
      </c>
      <c r="L127" s="75"/>
      <c r="M127" s="76"/>
      <c r="N127" s="128"/>
    </row>
    <row r="128" spans="1:14" ht="13.5" customHeight="1" x14ac:dyDescent="0.25">
      <c r="A128" s="255" t="s">
        <v>1583</v>
      </c>
      <c r="B128" s="735"/>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5"/>
      <c r="C129" s="719">
        <f t="shared" ref="C129:I129" si="27">C130+C133+C147</f>
        <v>242415389.46000001</v>
      </c>
      <c r="D129" s="718">
        <f t="shared" si="27"/>
        <v>0</v>
      </c>
      <c r="E129" s="718">
        <f t="shared" si="27"/>
        <v>0</v>
      </c>
      <c r="F129" s="718">
        <f t="shared" si="27"/>
        <v>0</v>
      </c>
      <c r="G129" s="718">
        <f t="shared" si="27"/>
        <v>0</v>
      </c>
      <c r="H129" s="718">
        <f t="shared" si="27"/>
        <v>0</v>
      </c>
      <c r="I129" s="718">
        <f t="shared" si="27"/>
        <v>13261936</v>
      </c>
      <c r="J129" s="718">
        <f t="shared" si="13"/>
        <v>13261936</v>
      </c>
      <c r="K129" s="718">
        <f t="shared" si="14"/>
        <v>255677325.46000001</v>
      </c>
      <c r="L129" s="718">
        <f>L130+L133+L147</f>
        <v>259558513.29909989</v>
      </c>
      <c r="M129" s="720">
        <f>M130+M133+M147</f>
        <v>273703109.80055046</v>
      </c>
      <c r="N129" s="128"/>
    </row>
    <row r="130" spans="1:14" ht="13.5" customHeight="1" x14ac:dyDescent="0.25">
      <c r="A130" s="721" t="str">
        <f t="shared" si="26"/>
        <v>Executive and council</v>
      </c>
      <c r="B130" s="735"/>
      <c r="C130" s="711">
        <f t="shared" ref="C130:I130" si="28">SUM(C131:C132)</f>
        <v>43758386.090000004</v>
      </c>
      <c r="D130" s="265">
        <f t="shared" si="28"/>
        <v>0</v>
      </c>
      <c r="E130" s="265">
        <f t="shared" si="28"/>
        <v>0</v>
      </c>
      <c r="F130" s="265">
        <f t="shared" si="28"/>
        <v>0</v>
      </c>
      <c r="G130" s="265">
        <f t="shared" si="28"/>
        <v>0</v>
      </c>
      <c r="H130" s="265">
        <f t="shared" si="28"/>
        <v>0</v>
      </c>
      <c r="I130" s="265">
        <f t="shared" si="28"/>
        <v>0</v>
      </c>
      <c r="J130" s="265">
        <f t="shared" si="13"/>
        <v>0</v>
      </c>
      <c r="K130" s="265">
        <f t="shared" si="14"/>
        <v>43758386.090000004</v>
      </c>
      <c r="L130" s="265">
        <f>SUM(L131:L132)</f>
        <v>46161473.264949992</v>
      </c>
      <c r="M130" s="266">
        <f>SUM(M131:M132)</f>
        <v>48676490.234522246</v>
      </c>
      <c r="N130" s="128"/>
    </row>
    <row r="131" spans="1:14" ht="13.5" customHeight="1" x14ac:dyDescent="0.25">
      <c r="A131" s="840" t="str">
        <f t="shared" si="26"/>
        <v>Mayor and Council</v>
      </c>
      <c r="B131" s="735"/>
      <c r="C131" s="389">
        <v>39620892.090000004</v>
      </c>
      <c r="D131" s="109"/>
      <c r="E131" s="109"/>
      <c r="F131" s="109"/>
      <c r="G131" s="109"/>
      <c r="H131" s="109"/>
      <c r="I131" s="109"/>
      <c r="J131" s="173">
        <f t="shared" si="13"/>
        <v>0</v>
      </c>
      <c r="K131" s="173">
        <f t="shared" si="14"/>
        <v>39620892.090000004</v>
      </c>
      <c r="L131" s="109">
        <v>41799639.324949995</v>
      </c>
      <c r="M131" s="110">
        <v>44111361.657822244</v>
      </c>
      <c r="N131" s="128"/>
    </row>
    <row r="132" spans="1:14" ht="13.5" customHeight="1" x14ac:dyDescent="0.25">
      <c r="A132" s="840" t="str">
        <f t="shared" si="26"/>
        <v>Municipal Manager, Town Secretary and Chief Executive</v>
      </c>
      <c r="B132" s="735"/>
      <c r="C132" s="389">
        <v>4137494</v>
      </c>
      <c r="D132" s="109"/>
      <c r="E132" s="109"/>
      <c r="F132" s="109"/>
      <c r="G132" s="109"/>
      <c r="H132" s="109"/>
      <c r="I132" s="109"/>
      <c r="J132" s="173">
        <f t="shared" si="13"/>
        <v>0</v>
      </c>
      <c r="K132" s="173">
        <f t="shared" si="14"/>
        <v>4137494</v>
      </c>
      <c r="L132" s="109">
        <v>4361833.9399999995</v>
      </c>
      <c r="M132" s="110">
        <v>4565128.5766999992</v>
      </c>
      <c r="N132" s="128"/>
    </row>
    <row r="133" spans="1:14" ht="13.5" customHeight="1" x14ac:dyDescent="0.25">
      <c r="A133" s="721" t="str">
        <f t="shared" si="26"/>
        <v>Finance and administration</v>
      </c>
      <c r="B133" s="735"/>
      <c r="C133" s="711">
        <f t="shared" ref="C133:I133" si="29">SUM(C134:C146)</f>
        <v>192969249.37</v>
      </c>
      <c r="D133" s="265">
        <f t="shared" si="29"/>
        <v>0</v>
      </c>
      <c r="E133" s="265">
        <f t="shared" si="29"/>
        <v>0</v>
      </c>
      <c r="F133" s="265">
        <f t="shared" si="29"/>
        <v>0</v>
      </c>
      <c r="G133" s="265">
        <f t="shared" si="29"/>
        <v>0</v>
      </c>
      <c r="H133" s="265">
        <f t="shared" si="29"/>
        <v>0</v>
      </c>
      <c r="I133" s="265">
        <f t="shared" si="29"/>
        <v>13261936</v>
      </c>
      <c r="J133" s="265">
        <f t="shared" si="13"/>
        <v>13261936</v>
      </c>
      <c r="K133" s="265">
        <f t="shared" si="14"/>
        <v>206231185.37</v>
      </c>
      <c r="L133" s="265">
        <f>SUM(L134:L146)</f>
        <v>207397354.1391499</v>
      </c>
      <c r="M133" s="266">
        <f>SUM(M134:M146)</f>
        <v>218695262.52180323</v>
      </c>
      <c r="N133" s="128"/>
    </row>
    <row r="134" spans="1:14" ht="12.4" customHeight="1" x14ac:dyDescent="0.25">
      <c r="A134" s="840" t="str">
        <f t="shared" si="26"/>
        <v>Administrative and Corporate Support</v>
      </c>
      <c r="B134" s="735"/>
      <c r="C134" s="389">
        <v>17921711.990000002</v>
      </c>
      <c r="D134" s="109"/>
      <c r="E134" s="109"/>
      <c r="F134" s="109"/>
      <c r="G134" s="109"/>
      <c r="H134" s="109"/>
      <c r="I134" s="109">
        <v>-254933</v>
      </c>
      <c r="J134" s="173">
        <f t="shared" si="13"/>
        <v>-254933</v>
      </c>
      <c r="K134" s="173">
        <f t="shared" si="14"/>
        <v>17666778.990000002</v>
      </c>
      <c r="L134" s="109">
        <v>18854624.739449997</v>
      </c>
      <c r="M134" s="110">
        <v>19756415.690119755</v>
      </c>
      <c r="N134" s="128"/>
    </row>
    <row r="135" spans="1:14" ht="12.4" customHeight="1" x14ac:dyDescent="0.25">
      <c r="A135" s="840" t="str">
        <f t="shared" si="26"/>
        <v>Asset Management</v>
      </c>
      <c r="B135" s="735"/>
      <c r="C135" s="389"/>
      <c r="D135" s="109"/>
      <c r="E135" s="109"/>
      <c r="F135" s="109"/>
      <c r="G135" s="109"/>
      <c r="H135" s="109"/>
      <c r="I135" s="109"/>
      <c r="J135" s="173">
        <f t="shared" si="13"/>
        <v>0</v>
      </c>
      <c r="K135" s="173">
        <f t="shared" si="14"/>
        <v>0</v>
      </c>
      <c r="L135" s="109"/>
      <c r="M135" s="110"/>
      <c r="N135" s="128"/>
    </row>
    <row r="136" spans="1:14" ht="12.4" customHeight="1" x14ac:dyDescent="0.25">
      <c r="A136" s="840" t="str">
        <f t="shared" si="26"/>
        <v>Finance</v>
      </c>
      <c r="B136" s="735"/>
      <c r="C136" s="389">
        <v>96635374.890000001</v>
      </c>
      <c r="D136" s="109"/>
      <c r="E136" s="109"/>
      <c r="F136" s="109"/>
      <c r="G136" s="109"/>
      <c r="H136" s="109"/>
      <c r="I136" s="109">
        <f>1500000+3000000</f>
        <v>4500000</v>
      </c>
      <c r="J136" s="173">
        <f t="shared" ref="J136:J201" si="30">SUM(E136:I136)</f>
        <v>4500000</v>
      </c>
      <c r="K136" s="173">
        <f t="shared" ref="K136:K201" si="31">IF(D136=0,C136+J136,D136+J136)</f>
        <v>101135374.89</v>
      </c>
      <c r="L136" s="109">
        <v>101795817.09394996</v>
      </c>
      <c r="M136" s="110">
        <v>107271409.61911722</v>
      </c>
      <c r="N136" s="128"/>
    </row>
    <row r="137" spans="1:14" ht="13.5" customHeight="1" x14ac:dyDescent="0.25">
      <c r="A137" s="840" t="str">
        <f t="shared" si="26"/>
        <v>Fleet Management</v>
      </c>
      <c r="B137" s="735"/>
      <c r="C137" s="389">
        <v>7108457</v>
      </c>
      <c r="D137" s="109"/>
      <c r="E137" s="109"/>
      <c r="F137" s="109"/>
      <c r="G137" s="109"/>
      <c r="H137" s="109"/>
      <c r="I137" s="109">
        <v>4574835</v>
      </c>
      <c r="J137" s="173">
        <f t="shared" si="30"/>
        <v>4574835</v>
      </c>
      <c r="K137" s="173">
        <f t="shared" si="31"/>
        <v>11683292</v>
      </c>
      <c r="L137" s="109">
        <f>6879197.09879999+4826451</f>
        <v>11705648.098799989</v>
      </c>
      <c r="M137" s="110">
        <f>7433513.559234+5091906</f>
        <v>12525419.559234001</v>
      </c>
      <c r="N137" s="128"/>
    </row>
    <row r="138" spans="1:14" ht="13.5" customHeight="1" x14ac:dyDescent="0.25">
      <c r="A138" s="840" t="str">
        <f t="shared" si="26"/>
        <v>Human Resources</v>
      </c>
      <c r="B138" s="735"/>
      <c r="C138" s="389">
        <v>14247150</v>
      </c>
      <c r="D138" s="109"/>
      <c r="E138" s="109"/>
      <c r="F138" s="109"/>
      <c r="G138" s="109"/>
      <c r="H138" s="109"/>
      <c r="I138" s="109"/>
      <c r="J138" s="173">
        <f t="shared" si="30"/>
        <v>0</v>
      </c>
      <c r="K138" s="173">
        <f t="shared" si="31"/>
        <v>14247150</v>
      </c>
      <c r="L138" s="109">
        <v>15030577.260000002</v>
      </c>
      <c r="M138" s="110">
        <v>15857271.019300003</v>
      </c>
      <c r="N138" s="128"/>
    </row>
    <row r="139" spans="1:14" ht="13.5" customHeight="1" x14ac:dyDescent="0.25">
      <c r="A139" s="840" t="str">
        <f t="shared" si="26"/>
        <v>Information Technology</v>
      </c>
      <c r="B139" s="735"/>
      <c r="C139" s="389">
        <v>15925568</v>
      </c>
      <c r="D139" s="109"/>
      <c r="E139" s="109"/>
      <c r="F139" s="109"/>
      <c r="G139" s="109"/>
      <c r="H139" s="109"/>
      <c r="I139" s="109"/>
      <c r="J139" s="173">
        <f t="shared" si="30"/>
        <v>0</v>
      </c>
      <c r="K139" s="173">
        <f t="shared" si="31"/>
        <v>15925568</v>
      </c>
      <c r="L139" s="109">
        <v>16625907.67</v>
      </c>
      <c r="M139" s="110">
        <v>17507191.021850001</v>
      </c>
      <c r="N139" s="128"/>
    </row>
    <row r="140" spans="1:14" ht="13.5" customHeight="1" x14ac:dyDescent="0.25">
      <c r="A140" s="840" t="str">
        <f t="shared" si="26"/>
        <v>Legal Services</v>
      </c>
      <c r="B140" s="735"/>
      <c r="C140" s="389">
        <v>12829184</v>
      </c>
      <c r="D140" s="109"/>
      <c r="E140" s="109"/>
      <c r="F140" s="109"/>
      <c r="G140" s="109"/>
      <c r="H140" s="109"/>
      <c r="I140" s="109">
        <v>4500000</v>
      </c>
      <c r="J140" s="173">
        <f t="shared" si="30"/>
        <v>4500000</v>
      </c>
      <c r="K140" s="173">
        <f t="shared" si="31"/>
        <v>17329184</v>
      </c>
      <c r="L140" s="109">
        <v>13534789.120000001</v>
      </c>
      <c r="M140" s="110">
        <v>14279202.521600004</v>
      </c>
      <c r="N140" s="128"/>
    </row>
    <row r="141" spans="1:14" ht="13.5" customHeight="1" x14ac:dyDescent="0.25">
      <c r="A141" s="840" t="str">
        <f t="shared" si="26"/>
        <v>Marketing, Customer Relations, Publicity and Media Co-ordination</v>
      </c>
      <c r="B141" s="735"/>
      <c r="C141" s="389">
        <v>14559070.49</v>
      </c>
      <c r="D141" s="109"/>
      <c r="E141" s="109"/>
      <c r="F141" s="109"/>
      <c r="G141" s="109"/>
      <c r="H141" s="109"/>
      <c r="I141" s="109"/>
      <c r="J141" s="173">
        <f t="shared" si="30"/>
        <v>0</v>
      </c>
      <c r="K141" s="173">
        <f t="shared" si="31"/>
        <v>14559070.49</v>
      </c>
      <c r="L141" s="109">
        <v>15359790.821950002</v>
      </c>
      <c r="M141" s="110">
        <v>16204581.772157254</v>
      </c>
      <c r="N141" s="128"/>
    </row>
    <row r="142" spans="1:14" ht="13.5" customHeight="1" x14ac:dyDescent="0.25">
      <c r="A142" s="840" t="str">
        <f t="shared" si="26"/>
        <v>Property Services</v>
      </c>
      <c r="B142" s="735"/>
      <c r="C142" s="389">
        <v>6857815</v>
      </c>
      <c r="D142" s="109"/>
      <c r="E142" s="109"/>
      <c r="F142" s="109"/>
      <c r="G142" s="109"/>
      <c r="H142" s="109"/>
      <c r="I142" s="109">
        <f>-29987-7979-20000</f>
        <v>-57966</v>
      </c>
      <c r="J142" s="173">
        <f t="shared" si="30"/>
        <v>-57966</v>
      </c>
      <c r="K142" s="173">
        <f t="shared" si="31"/>
        <v>6799849</v>
      </c>
      <c r="L142" s="109">
        <v>7227797.2499999981</v>
      </c>
      <c r="M142" s="110">
        <v>7631850.5237499988</v>
      </c>
      <c r="N142" s="128"/>
    </row>
    <row r="143" spans="1:14" ht="13.5" customHeight="1" x14ac:dyDescent="0.25">
      <c r="A143" s="840" t="str">
        <f t="shared" si="26"/>
        <v>Risk Management</v>
      </c>
      <c r="B143" s="735"/>
      <c r="C143" s="389">
        <v>2031723</v>
      </c>
      <c r="D143" s="109"/>
      <c r="E143" s="109"/>
      <c r="F143" s="109"/>
      <c r="G143" s="109"/>
      <c r="H143" s="109"/>
      <c r="I143" s="109"/>
      <c r="J143" s="173">
        <f t="shared" si="30"/>
        <v>0</v>
      </c>
      <c r="K143" s="173">
        <f t="shared" si="31"/>
        <v>2031723</v>
      </c>
      <c r="L143" s="109">
        <v>2143467.7650000001</v>
      </c>
      <c r="M143" s="110">
        <v>2261358.492075</v>
      </c>
      <c r="N143" s="128"/>
    </row>
    <row r="144" spans="1:14" ht="13.5" customHeight="1" x14ac:dyDescent="0.25">
      <c r="A144" s="840" t="str">
        <f t="shared" si="26"/>
        <v>Security Services</v>
      </c>
      <c r="B144" s="735"/>
      <c r="C144" s="389"/>
      <c r="D144" s="109"/>
      <c r="E144" s="109"/>
      <c r="F144" s="109"/>
      <c r="G144" s="109"/>
      <c r="H144" s="109"/>
      <c r="I144" s="109"/>
      <c r="J144" s="173">
        <f t="shared" si="30"/>
        <v>0</v>
      </c>
      <c r="K144" s="173">
        <f t="shared" si="31"/>
        <v>0</v>
      </c>
      <c r="L144" s="109"/>
      <c r="M144" s="110"/>
      <c r="N144" s="128"/>
    </row>
    <row r="145" spans="1:14" ht="13.5" customHeight="1" x14ac:dyDescent="0.25">
      <c r="A145" s="840" t="str">
        <f t="shared" si="26"/>
        <v xml:space="preserve">Supply Chain Management </v>
      </c>
      <c r="B145" s="735"/>
      <c r="C145" s="389">
        <v>4853195</v>
      </c>
      <c r="D145" s="109"/>
      <c r="E145" s="109"/>
      <c r="F145" s="109"/>
      <c r="G145" s="109"/>
      <c r="H145" s="109"/>
      <c r="I145" s="109"/>
      <c r="J145" s="173">
        <f t="shared" si="30"/>
        <v>0</v>
      </c>
      <c r="K145" s="173">
        <f t="shared" si="31"/>
        <v>4853195</v>
      </c>
      <c r="L145" s="109">
        <v>5118934.3199999994</v>
      </c>
      <c r="M145" s="110">
        <v>5400562.3025999991</v>
      </c>
      <c r="N145" s="128"/>
    </row>
    <row r="146" spans="1:14" ht="13.5" customHeight="1" x14ac:dyDescent="0.25">
      <c r="A146" s="840" t="str">
        <f t="shared" si="26"/>
        <v>Valuation Service</v>
      </c>
      <c r="B146" s="735"/>
      <c r="C146" s="389"/>
      <c r="D146" s="109"/>
      <c r="E146" s="109"/>
      <c r="F146" s="109"/>
      <c r="G146" s="109"/>
      <c r="H146" s="109"/>
      <c r="I146" s="109"/>
      <c r="J146" s="173">
        <f t="shared" si="30"/>
        <v>0</v>
      </c>
      <c r="K146" s="173">
        <f t="shared" si="31"/>
        <v>0</v>
      </c>
      <c r="L146" s="109"/>
      <c r="M146" s="110"/>
      <c r="N146" s="128"/>
    </row>
    <row r="147" spans="1:14" ht="13.5" customHeight="1" x14ac:dyDescent="0.25">
      <c r="A147" s="721" t="str">
        <f t="shared" si="26"/>
        <v>Internal audit</v>
      </c>
      <c r="B147" s="735"/>
      <c r="C147" s="711">
        <f t="shared" ref="C147:I147" si="32">SUM(C148:C148)</f>
        <v>5687754</v>
      </c>
      <c r="D147" s="265">
        <f t="shared" si="32"/>
        <v>0</v>
      </c>
      <c r="E147" s="265">
        <f t="shared" si="32"/>
        <v>0</v>
      </c>
      <c r="F147" s="265">
        <f t="shared" si="32"/>
        <v>0</v>
      </c>
      <c r="G147" s="265">
        <f t="shared" si="32"/>
        <v>0</v>
      </c>
      <c r="H147" s="265">
        <f t="shared" si="32"/>
        <v>0</v>
      </c>
      <c r="I147" s="265">
        <f t="shared" si="32"/>
        <v>0</v>
      </c>
      <c r="J147" s="265">
        <f t="shared" si="30"/>
        <v>0</v>
      </c>
      <c r="K147" s="265">
        <f t="shared" si="31"/>
        <v>5687754</v>
      </c>
      <c r="L147" s="265">
        <f t="shared" ref="L147:M147" si="33">SUM(L148:L148)</f>
        <v>5999685.8949999986</v>
      </c>
      <c r="M147" s="266">
        <f t="shared" si="33"/>
        <v>6331357.0442249998</v>
      </c>
      <c r="N147" s="128"/>
    </row>
    <row r="148" spans="1:14" ht="13.5" customHeight="1" x14ac:dyDescent="0.25">
      <c r="A148" s="840" t="str">
        <f t="shared" si="26"/>
        <v>Governance Function</v>
      </c>
      <c r="B148" s="735"/>
      <c r="C148" s="389">
        <v>5687754</v>
      </c>
      <c r="D148" s="109"/>
      <c r="E148" s="109"/>
      <c r="F148" s="109"/>
      <c r="G148" s="109"/>
      <c r="H148" s="109"/>
      <c r="I148" s="109"/>
      <c r="J148" s="173">
        <f t="shared" si="30"/>
        <v>0</v>
      </c>
      <c r="K148" s="173">
        <f t="shared" si="31"/>
        <v>5687754</v>
      </c>
      <c r="L148" s="109">
        <v>5999685.8949999986</v>
      </c>
      <c r="M148" s="110">
        <v>6331357.0442249998</v>
      </c>
      <c r="N148" s="128"/>
    </row>
    <row r="149" spans="1:14" ht="13.5" customHeight="1" x14ac:dyDescent="0.25">
      <c r="A149" s="107" t="str">
        <f t="shared" si="26"/>
        <v>Community and public safety</v>
      </c>
      <c r="B149" s="735"/>
      <c r="C149" s="719">
        <f t="shared" ref="C149:I149" si="34">C150+C172+C178+C187+C190</f>
        <v>100121389</v>
      </c>
      <c r="D149" s="718">
        <f t="shared" si="34"/>
        <v>0</v>
      </c>
      <c r="E149" s="718">
        <f t="shared" si="34"/>
        <v>0</v>
      </c>
      <c r="F149" s="718">
        <f t="shared" si="34"/>
        <v>0</v>
      </c>
      <c r="G149" s="718">
        <f t="shared" si="34"/>
        <v>0</v>
      </c>
      <c r="H149" s="718">
        <f t="shared" si="34"/>
        <v>0</v>
      </c>
      <c r="I149" s="718">
        <f t="shared" si="34"/>
        <v>300000</v>
      </c>
      <c r="J149" s="718">
        <f t="shared" si="30"/>
        <v>300000</v>
      </c>
      <c r="K149" s="718">
        <f t="shared" si="31"/>
        <v>100421389</v>
      </c>
      <c r="L149" s="718">
        <f>L150+L172+L178+L187+L190</f>
        <v>105271688.43000001</v>
      </c>
      <c r="M149" s="720">
        <f>M150+M172+M178+M187+M190</f>
        <v>110935597.32865003</v>
      </c>
      <c r="N149" s="128"/>
    </row>
    <row r="150" spans="1:14" ht="13.5" customHeight="1" x14ac:dyDescent="0.25">
      <c r="A150" s="721" t="str">
        <f t="shared" si="26"/>
        <v>Community and social services</v>
      </c>
      <c r="B150" s="735"/>
      <c r="C150" s="722">
        <f t="shared" ref="C150:I150" si="35">SUM(C151:C171)</f>
        <v>11661675</v>
      </c>
      <c r="D150" s="270">
        <f t="shared" si="35"/>
        <v>0</v>
      </c>
      <c r="E150" s="270">
        <f t="shared" si="35"/>
        <v>0</v>
      </c>
      <c r="F150" s="270">
        <f t="shared" si="35"/>
        <v>0</v>
      </c>
      <c r="G150" s="270">
        <f t="shared" si="35"/>
        <v>0</v>
      </c>
      <c r="H150" s="270">
        <f t="shared" si="35"/>
        <v>0</v>
      </c>
      <c r="I150" s="270">
        <f t="shared" si="35"/>
        <v>0</v>
      </c>
      <c r="J150" s="270">
        <f t="shared" si="30"/>
        <v>0</v>
      </c>
      <c r="K150" s="270">
        <f t="shared" si="31"/>
        <v>11661675</v>
      </c>
      <c r="L150" s="270">
        <f>SUM(L151:L171)</f>
        <v>12292289.270000001</v>
      </c>
      <c r="M150" s="271">
        <f>SUM(M151:M171)</f>
        <v>12969149.32485</v>
      </c>
      <c r="N150" s="128"/>
    </row>
    <row r="151" spans="1:14" ht="13.5" customHeight="1" x14ac:dyDescent="0.25">
      <c r="A151" s="840" t="str">
        <f t="shared" si="26"/>
        <v>Aged Care</v>
      </c>
      <c r="B151" s="735"/>
      <c r="C151" s="389"/>
      <c r="D151" s="109"/>
      <c r="E151" s="109"/>
      <c r="F151" s="109"/>
      <c r="G151" s="109"/>
      <c r="H151" s="109"/>
      <c r="I151" s="109"/>
      <c r="J151" s="173">
        <f t="shared" si="30"/>
        <v>0</v>
      </c>
      <c r="K151" s="173">
        <f t="shared" si="31"/>
        <v>0</v>
      </c>
      <c r="L151" s="109"/>
      <c r="M151" s="110"/>
      <c r="N151" s="128"/>
    </row>
    <row r="152" spans="1:14" ht="13.5" customHeight="1" x14ac:dyDescent="0.25">
      <c r="A152" s="840" t="str">
        <f t="shared" si="26"/>
        <v>Agricultural</v>
      </c>
      <c r="B152" s="735"/>
      <c r="C152" s="389"/>
      <c r="D152" s="109"/>
      <c r="E152" s="109"/>
      <c r="F152" s="109"/>
      <c r="G152" s="109"/>
      <c r="H152" s="109"/>
      <c r="I152" s="109"/>
      <c r="J152" s="173">
        <f t="shared" si="30"/>
        <v>0</v>
      </c>
      <c r="K152" s="173">
        <f t="shared" si="31"/>
        <v>0</v>
      </c>
      <c r="L152" s="109"/>
      <c r="M152" s="110"/>
      <c r="N152" s="128"/>
    </row>
    <row r="153" spans="1:14" ht="13.5" customHeight="1" x14ac:dyDescent="0.25">
      <c r="A153" s="840" t="str">
        <f t="shared" si="26"/>
        <v>Animal Care and Diseases</v>
      </c>
      <c r="B153" s="735"/>
      <c r="C153" s="389"/>
      <c r="D153" s="109"/>
      <c r="E153" s="109"/>
      <c r="F153" s="109"/>
      <c r="G153" s="109"/>
      <c r="H153" s="109"/>
      <c r="I153" s="109"/>
      <c r="J153" s="173">
        <f t="shared" si="30"/>
        <v>0</v>
      </c>
      <c r="K153" s="173">
        <f t="shared" si="31"/>
        <v>0</v>
      </c>
      <c r="L153" s="109"/>
      <c r="M153" s="110"/>
      <c r="N153" s="128"/>
    </row>
    <row r="154" spans="1:14" ht="13.5" customHeight="1" x14ac:dyDescent="0.25">
      <c r="A154" s="840" t="str">
        <f t="shared" si="26"/>
        <v>Cemeteries, Funeral Parlours and Crematoriums</v>
      </c>
      <c r="B154" s="735"/>
      <c r="C154" s="389"/>
      <c r="D154" s="109"/>
      <c r="E154" s="109"/>
      <c r="F154" s="109"/>
      <c r="G154" s="109"/>
      <c r="H154" s="109"/>
      <c r="I154" s="109"/>
      <c r="J154" s="173">
        <f t="shared" si="30"/>
        <v>0</v>
      </c>
      <c r="K154" s="173">
        <f t="shared" si="31"/>
        <v>0</v>
      </c>
      <c r="L154" s="109"/>
      <c r="M154" s="110"/>
      <c r="N154" s="128"/>
    </row>
    <row r="155" spans="1:14" ht="13.5" customHeight="1" x14ac:dyDescent="0.25">
      <c r="A155" s="840" t="str">
        <f t="shared" si="26"/>
        <v>Child Care Facilities</v>
      </c>
      <c r="B155" s="735"/>
      <c r="C155" s="389"/>
      <c r="D155" s="109"/>
      <c r="E155" s="109"/>
      <c r="F155" s="109"/>
      <c r="G155" s="109"/>
      <c r="H155" s="109"/>
      <c r="I155" s="109"/>
      <c r="J155" s="173">
        <f t="shared" si="30"/>
        <v>0</v>
      </c>
      <c r="K155" s="173">
        <f t="shared" si="31"/>
        <v>0</v>
      </c>
      <c r="L155" s="109"/>
      <c r="M155" s="110"/>
      <c r="N155" s="128"/>
    </row>
    <row r="156" spans="1:14" ht="13.5" customHeight="1" x14ac:dyDescent="0.25">
      <c r="A156" s="840" t="str">
        <f t="shared" si="26"/>
        <v>Community Halls and Facilities</v>
      </c>
      <c r="B156" s="735"/>
      <c r="C156" s="389"/>
      <c r="D156" s="109"/>
      <c r="E156" s="109"/>
      <c r="F156" s="109"/>
      <c r="G156" s="109"/>
      <c r="H156" s="109"/>
      <c r="I156" s="109"/>
      <c r="J156" s="173">
        <f t="shared" si="30"/>
        <v>0</v>
      </c>
      <c r="K156" s="173">
        <f t="shared" si="31"/>
        <v>0</v>
      </c>
      <c r="L156" s="109"/>
      <c r="M156" s="110"/>
      <c r="N156" s="128"/>
    </row>
    <row r="157" spans="1:14" ht="12.4" customHeight="1" x14ac:dyDescent="0.25">
      <c r="A157" s="840" t="str">
        <f t="shared" si="26"/>
        <v>Consumer Protection</v>
      </c>
      <c r="B157" s="735"/>
      <c r="C157" s="389"/>
      <c r="D157" s="109"/>
      <c r="E157" s="109"/>
      <c r="F157" s="109"/>
      <c r="G157" s="109"/>
      <c r="H157" s="109"/>
      <c r="I157" s="109"/>
      <c r="J157" s="173">
        <f t="shared" si="30"/>
        <v>0</v>
      </c>
      <c r="K157" s="173">
        <f t="shared" si="31"/>
        <v>0</v>
      </c>
      <c r="L157" s="109"/>
      <c r="M157" s="110"/>
      <c r="N157" s="128"/>
    </row>
    <row r="158" spans="1:14" ht="12.4" customHeight="1" x14ac:dyDescent="0.25">
      <c r="A158" s="840" t="str">
        <f t="shared" si="26"/>
        <v>Cultural Matters</v>
      </c>
      <c r="B158" s="735"/>
      <c r="C158" s="389"/>
      <c r="D158" s="109"/>
      <c r="E158" s="109"/>
      <c r="F158" s="109"/>
      <c r="G158" s="109"/>
      <c r="H158" s="109"/>
      <c r="I158" s="109"/>
      <c r="J158" s="173">
        <f t="shared" si="30"/>
        <v>0</v>
      </c>
      <c r="K158" s="173">
        <f t="shared" si="31"/>
        <v>0</v>
      </c>
      <c r="L158" s="109"/>
      <c r="M158" s="110"/>
      <c r="N158" s="128"/>
    </row>
    <row r="159" spans="1:14" ht="12.4" customHeight="1" x14ac:dyDescent="0.25">
      <c r="A159" s="840" t="str">
        <f t="shared" si="26"/>
        <v>Disaster Management</v>
      </c>
      <c r="B159" s="735"/>
      <c r="C159" s="389">
        <v>2304385</v>
      </c>
      <c r="D159" s="109"/>
      <c r="E159" s="109"/>
      <c r="F159" s="109"/>
      <c r="G159" s="109"/>
      <c r="H159" s="109"/>
      <c r="I159" s="109"/>
      <c r="J159" s="173">
        <f t="shared" si="30"/>
        <v>0</v>
      </c>
      <c r="K159" s="173">
        <f t="shared" si="31"/>
        <v>2304385</v>
      </c>
      <c r="L159" s="109">
        <v>2427854.1700000004</v>
      </c>
      <c r="M159" s="110">
        <v>2561624.1443499997</v>
      </c>
      <c r="N159" s="128"/>
    </row>
    <row r="160" spans="1:14" ht="13.5" customHeight="1" x14ac:dyDescent="0.25">
      <c r="A160" s="840" t="str">
        <f t="shared" si="26"/>
        <v>Education</v>
      </c>
      <c r="B160" s="735"/>
      <c r="C160" s="389"/>
      <c r="D160" s="109"/>
      <c r="E160" s="109"/>
      <c r="F160" s="109"/>
      <c r="G160" s="109"/>
      <c r="H160" s="109"/>
      <c r="I160" s="109"/>
      <c r="J160" s="173">
        <f t="shared" si="30"/>
        <v>0</v>
      </c>
      <c r="K160" s="173">
        <f t="shared" si="31"/>
        <v>0</v>
      </c>
      <c r="L160" s="109"/>
      <c r="M160" s="110"/>
      <c r="N160" s="128"/>
    </row>
    <row r="161" spans="1:14" ht="13.5" customHeight="1" x14ac:dyDescent="0.25">
      <c r="A161" s="840" t="str">
        <f t="shared" ref="A161:A192" si="36">A39</f>
        <v>Indigenous and Customary Law</v>
      </c>
      <c r="B161" s="735"/>
      <c r="C161" s="389"/>
      <c r="D161" s="109"/>
      <c r="E161" s="109"/>
      <c r="F161" s="109"/>
      <c r="G161" s="109"/>
      <c r="H161" s="109"/>
      <c r="I161" s="109"/>
      <c r="J161" s="173">
        <f t="shared" si="30"/>
        <v>0</v>
      </c>
      <c r="K161" s="173">
        <f t="shared" si="31"/>
        <v>0</v>
      </c>
      <c r="L161" s="109"/>
      <c r="M161" s="110"/>
      <c r="N161" s="128"/>
    </row>
    <row r="162" spans="1:14" ht="13.5" customHeight="1" x14ac:dyDescent="0.25">
      <c r="A162" s="840" t="str">
        <f t="shared" si="36"/>
        <v>Industrial Promotion</v>
      </c>
      <c r="B162" s="735"/>
      <c r="C162" s="389"/>
      <c r="D162" s="109"/>
      <c r="E162" s="109"/>
      <c r="F162" s="109"/>
      <c r="G162" s="109"/>
      <c r="H162" s="109"/>
      <c r="I162" s="109"/>
      <c r="J162" s="173">
        <f t="shared" si="30"/>
        <v>0</v>
      </c>
      <c r="K162" s="173">
        <f t="shared" si="31"/>
        <v>0</v>
      </c>
      <c r="L162" s="109"/>
      <c r="M162" s="110"/>
      <c r="N162" s="128"/>
    </row>
    <row r="163" spans="1:14" ht="13.5" customHeight="1" x14ac:dyDescent="0.25">
      <c r="A163" s="840" t="str">
        <f t="shared" si="36"/>
        <v>Language Policy</v>
      </c>
      <c r="B163" s="735"/>
      <c r="C163" s="389"/>
      <c r="D163" s="109"/>
      <c r="E163" s="109"/>
      <c r="F163" s="109"/>
      <c r="G163" s="109"/>
      <c r="H163" s="109"/>
      <c r="I163" s="109"/>
      <c r="J163" s="173">
        <f t="shared" si="30"/>
        <v>0</v>
      </c>
      <c r="K163" s="173">
        <f t="shared" si="31"/>
        <v>0</v>
      </c>
      <c r="L163" s="109"/>
      <c r="M163" s="110"/>
      <c r="N163" s="128"/>
    </row>
    <row r="164" spans="1:14" ht="13.5" customHeight="1" x14ac:dyDescent="0.25">
      <c r="A164" s="840" t="str">
        <f t="shared" si="36"/>
        <v>Libraries and Archives</v>
      </c>
      <c r="B164" s="735"/>
      <c r="C164" s="389">
        <v>9357290</v>
      </c>
      <c r="D164" s="109"/>
      <c r="E164" s="109"/>
      <c r="F164" s="109"/>
      <c r="G164" s="109"/>
      <c r="H164" s="109"/>
      <c r="I164" s="109"/>
      <c r="J164" s="173">
        <f t="shared" si="30"/>
        <v>0</v>
      </c>
      <c r="K164" s="173">
        <f t="shared" si="31"/>
        <v>9357290</v>
      </c>
      <c r="L164" s="109">
        <v>9864435.1000000015</v>
      </c>
      <c r="M164" s="110">
        <v>10407525.180500001</v>
      </c>
      <c r="N164" s="128"/>
    </row>
    <row r="165" spans="1:14" ht="13.5" customHeight="1" x14ac:dyDescent="0.25">
      <c r="A165" s="840" t="str">
        <f t="shared" si="36"/>
        <v>Literacy Programmes</v>
      </c>
      <c r="B165" s="735"/>
      <c r="C165" s="389"/>
      <c r="D165" s="109"/>
      <c r="E165" s="109"/>
      <c r="F165" s="109"/>
      <c r="G165" s="109"/>
      <c r="H165" s="109"/>
      <c r="I165" s="109"/>
      <c r="J165" s="173">
        <f t="shared" si="30"/>
        <v>0</v>
      </c>
      <c r="K165" s="173">
        <f t="shared" si="31"/>
        <v>0</v>
      </c>
      <c r="L165" s="109"/>
      <c r="M165" s="110"/>
      <c r="N165" s="128"/>
    </row>
    <row r="166" spans="1:14" ht="13.5" customHeight="1" x14ac:dyDescent="0.25">
      <c r="A166" s="840" t="str">
        <f t="shared" si="36"/>
        <v>Media Services</v>
      </c>
      <c r="B166" s="735"/>
      <c r="C166" s="389"/>
      <c r="D166" s="109"/>
      <c r="E166" s="109"/>
      <c r="F166" s="109"/>
      <c r="G166" s="109"/>
      <c r="H166" s="109"/>
      <c r="I166" s="109"/>
      <c r="J166" s="173">
        <f t="shared" si="30"/>
        <v>0</v>
      </c>
      <c r="K166" s="173">
        <f t="shared" si="31"/>
        <v>0</v>
      </c>
      <c r="L166" s="109"/>
      <c r="M166" s="110"/>
      <c r="N166" s="128"/>
    </row>
    <row r="167" spans="1:14" ht="13.5" customHeight="1" x14ac:dyDescent="0.25">
      <c r="A167" s="840" t="str">
        <f t="shared" si="36"/>
        <v>Museums and Art Galleries</v>
      </c>
      <c r="B167" s="735"/>
      <c r="C167" s="389"/>
      <c r="D167" s="109"/>
      <c r="E167" s="109"/>
      <c r="F167" s="109"/>
      <c r="G167" s="109"/>
      <c r="H167" s="109"/>
      <c r="I167" s="109"/>
      <c r="J167" s="173">
        <f t="shared" si="30"/>
        <v>0</v>
      </c>
      <c r="K167" s="173">
        <f t="shared" si="31"/>
        <v>0</v>
      </c>
      <c r="L167" s="109"/>
      <c r="M167" s="110"/>
      <c r="N167" s="128"/>
    </row>
    <row r="168" spans="1:14" ht="13.5" customHeight="1" x14ac:dyDescent="0.25">
      <c r="A168" s="840" t="str">
        <f t="shared" si="36"/>
        <v>Population Development</v>
      </c>
      <c r="B168" s="735"/>
      <c r="C168" s="389"/>
      <c r="D168" s="109"/>
      <c r="E168" s="109"/>
      <c r="F168" s="109"/>
      <c r="G168" s="109"/>
      <c r="H168" s="109"/>
      <c r="I168" s="109"/>
      <c r="J168" s="173">
        <f t="shared" si="30"/>
        <v>0</v>
      </c>
      <c r="K168" s="173">
        <f t="shared" si="31"/>
        <v>0</v>
      </c>
      <c r="L168" s="109"/>
      <c r="M168" s="110"/>
      <c r="N168" s="128"/>
    </row>
    <row r="169" spans="1:14" ht="13.5" customHeight="1" x14ac:dyDescent="0.25">
      <c r="A169" s="840" t="str">
        <f t="shared" si="36"/>
        <v>Provincial Cultural Matters</v>
      </c>
      <c r="B169" s="735"/>
      <c r="C169" s="389"/>
      <c r="D169" s="109"/>
      <c r="E169" s="109"/>
      <c r="F169" s="109"/>
      <c r="G169" s="109"/>
      <c r="H169" s="109"/>
      <c r="I169" s="109"/>
      <c r="J169" s="173">
        <f t="shared" si="30"/>
        <v>0</v>
      </c>
      <c r="K169" s="173">
        <f t="shared" si="31"/>
        <v>0</v>
      </c>
      <c r="L169" s="109"/>
      <c r="M169" s="110"/>
      <c r="N169" s="128"/>
    </row>
    <row r="170" spans="1:14" ht="13.5" customHeight="1" x14ac:dyDescent="0.25">
      <c r="A170" s="840" t="str">
        <f t="shared" si="36"/>
        <v>Theatres</v>
      </c>
      <c r="B170" s="735"/>
      <c r="C170" s="389"/>
      <c r="D170" s="109"/>
      <c r="E170" s="109"/>
      <c r="F170" s="109"/>
      <c r="G170" s="109"/>
      <c r="H170" s="109"/>
      <c r="I170" s="109"/>
      <c r="J170" s="173">
        <f t="shared" si="30"/>
        <v>0</v>
      </c>
      <c r="K170" s="173">
        <f t="shared" si="31"/>
        <v>0</v>
      </c>
      <c r="L170" s="109"/>
      <c r="M170" s="110"/>
      <c r="N170" s="128"/>
    </row>
    <row r="171" spans="1:14" ht="13.5" customHeight="1" x14ac:dyDescent="0.25">
      <c r="A171" s="840" t="str">
        <f t="shared" si="36"/>
        <v>Zoo's</v>
      </c>
      <c r="B171" s="735"/>
      <c r="C171" s="389"/>
      <c r="D171" s="109"/>
      <c r="E171" s="109"/>
      <c r="F171" s="109"/>
      <c r="G171" s="109"/>
      <c r="H171" s="109"/>
      <c r="I171" s="109"/>
      <c r="J171" s="173">
        <f t="shared" si="30"/>
        <v>0</v>
      </c>
      <c r="K171" s="173">
        <f t="shared" si="31"/>
        <v>0</v>
      </c>
      <c r="L171" s="109"/>
      <c r="M171" s="110"/>
      <c r="N171" s="128"/>
    </row>
    <row r="172" spans="1:14" ht="13.5" customHeight="1" x14ac:dyDescent="0.25">
      <c r="A172" s="721" t="str">
        <f t="shared" si="36"/>
        <v>Sport and recreation</v>
      </c>
      <c r="B172" s="735"/>
      <c r="C172" s="722">
        <f t="shared" ref="C172:I172" si="37">SUM(C173:C177)</f>
        <v>29826254.670000002</v>
      </c>
      <c r="D172" s="270">
        <f t="shared" si="37"/>
        <v>0</v>
      </c>
      <c r="E172" s="270">
        <f t="shared" si="37"/>
        <v>0</v>
      </c>
      <c r="F172" s="270">
        <f t="shared" si="37"/>
        <v>0</v>
      </c>
      <c r="G172" s="270">
        <f t="shared" si="37"/>
        <v>0</v>
      </c>
      <c r="H172" s="270">
        <f t="shared" si="37"/>
        <v>0</v>
      </c>
      <c r="I172" s="270">
        <f t="shared" si="37"/>
        <v>0</v>
      </c>
      <c r="J172" s="270">
        <f t="shared" si="30"/>
        <v>0</v>
      </c>
      <c r="K172" s="270">
        <f t="shared" si="31"/>
        <v>29826254.670000002</v>
      </c>
      <c r="L172" s="270">
        <f>SUM(L173:L177)</f>
        <v>31386104.911850002</v>
      </c>
      <c r="M172" s="271">
        <f>SUM(M173:M177)</f>
        <v>33149803.917001761</v>
      </c>
      <c r="N172" s="128"/>
    </row>
    <row r="173" spans="1:14" ht="13.5" customHeight="1" x14ac:dyDescent="0.25">
      <c r="A173" s="840" t="str">
        <f t="shared" si="36"/>
        <v xml:space="preserve">Beaches and Jetties </v>
      </c>
      <c r="B173" s="735"/>
      <c r="C173" s="389"/>
      <c r="D173" s="109"/>
      <c r="E173" s="109"/>
      <c r="F173" s="109"/>
      <c r="G173" s="109"/>
      <c r="H173" s="109"/>
      <c r="I173" s="109"/>
      <c r="J173" s="173">
        <f t="shared" si="30"/>
        <v>0</v>
      </c>
      <c r="K173" s="173">
        <f t="shared" si="31"/>
        <v>0</v>
      </c>
      <c r="L173" s="109"/>
      <c r="M173" s="110"/>
      <c r="N173" s="128"/>
    </row>
    <row r="174" spans="1:14" ht="13.5" customHeight="1" x14ac:dyDescent="0.25">
      <c r="A174" s="840" t="str">
        <f t="shared" si="36"/>
        <v>Casinos, Racing, Gambling, Wagering</v>
      </c>
      <c r="B174" s="735"/>
      <c r="C174" s="389"/>
      <c r="D174" s="109"/>
      <c r="E174" s="109"/>
      <c r="F174" s="109"/>
      <c r="G174" s="109"/>
      <c r="H174" s="109"/>
      <c r="I174" s="109"/>
      <c r="J174" s="173">
        <f t="shared" si="30"/>
        <v>0</v>
      </c>
      <c r="K174" s="173">
        <f t="shared" si="31"/>
        <v>0</v>
      </c>
      <c r="L174" s="109"/>
      <c r="M174" s="110"/>
      <c r="N174" s="128"/>
    </row>
    <row r="175" spans="1:14" ht="13.5" customHeight="1" x14ac:dyDescent="0.25">
      <c r="A175" s="840" t="str">
        <f t="shared" si="36"/>
        <v>Community Parks (including Nurseries)</v>
      </c>
      <c r="B175" s="735"/>
      <c r="C175" s="389"/>
      <c r="D175" s="109"/>
      <c r="E175" s="109"/>
      <c r="F175" s="109"/>
      <c r="G175" s="109"/>
      <c r="H175" s="109"/>
      <c r="I175" s="109"/>
      <c r="J175" s="173">
        <f t="shared" si="30"/>
        <v>0</v>
      </c>
      <c r="K175" s="173">
        <f t="shared" si="31"/>
        <v>0</v>
      </c>
      <c r="L175" s="109"/>
      <c r="M175" s="110"/>
      <c r="N175" s="128"/>
    </row>
    <row r="176" spans="1:14" ht="13.5" customHeight="1" x14ac:dyDescent="0.25">
      <c r="A176" s="840" t="str">
        <f t="shared" si="36"/>
        <v>Recreational Facilities</v>
      </c>
      <c r="B176" s="735"/>
      <c r="C176" s="389">
        <v>29826254.670000002</v>
      </c>
      <c r="D176" s="109"/>
      <c r="E176" s="109"/>
      <c r="F176" s="109"/>
      <c r="G176" s="109"/>
      <c r="H176" s="109"/>
      <c r="I176" s="109"/>
      <c r="J176" s="173">
        <f t="shared" si="30"/>
        <v>0</v>
      </c>
      <c r="K176" s="173">
        <f t="shared" si="31"/>
        <v>29826254.670000002</v>
      </c>
      <c r="L176" s="109">
        <v>31386104.911850002</v>
      </c>
      <c r="M176" s="110">
        <v>33149803.917001761</v>
      </c>
      <c r="N176" s="128"/>
    </row>
    <row r="177" spans="1:14" ht="13.5" customHeight="1" x14ac:dyDescent="0.25">
      <c r="A177" s="840" t="str">
        <f t="shared" si="36"/>
        <v>Sports Grounds and Stadiums</v>
      </c>
      <c r="B177" s="735"/>
      <c r="C177" s="389"/>
      <c r="D177" s="109"/>
      <c r="E177" s="109"/>
      <c r="F177" s="109"/>
      <c r="G177" s="109"/>
      <c r="H177" s="109"/>
      <c r="I177" s="109"/>
      <c r="J177" s="173">
        <f t="shared" si="30"/>
        <v>0</v>
      </c>
      <c r="K177" s="173">
        <f t="shared" si="31"/>
        <v>0</v>
      </c>
      <c r="L177" s="109"/>
      <c r="M177" s="110"/>
      <c r="N177" s="128"/>
    </row>
    <row r="178" spans="1:14" ht="13.5" customHeight="1" x14ac:dyDescent="0.25">
      <c r="A178" s="721" t="str">
        <f t="shared" si="36"/>
        <v>Public safety</v>
      </c>
      <c r="B178" s="735"/>
      <c r="C178" s="722">
        <f t="shared" ref="C178:I178" si="38">SUM(C179:C186)</f>
        <v>28025248</v>
      </c>
      <c r="D178" s="270">
        <f t="shared" si="38"/>
        <v>0</v>
      </c>
      <c r="E178" s="270">
        <f t="shared" si="38"/>
        <v>0</v>
      </c>
      <c r="F178" s="270">
        <f t="shared" si="38"/>
        <v>0</v>
      </c>
      <c r="G178" s="270">
        <f t="shared" si="38"/>
        <v>0</v>
      </c>
      <c r="H178" s="270">
        <f t="shared" si="38"/>
        <v>0</v>
      </c>
      <c r="I178" s="270">
        <f t="shared" si="38"/>
        <v>0</v>
      </c>
      <c r="J178" s="270">
        <f t="shared" si="30"/>
        <v>0</v>
      </c>
      <c r="K178" s="270">
        <f t="shared" si="31"/>
        <v>28025248</v>
      </c>
      <c r="L178" s="270">
        <f>SUM(L179:L186)</f>
        <v>29474804.68</v>
      </c>
      <c r="M178" s="271">
        <f>SUM(M179:M186)</f>
        <v>30980817.977400001</v>
      </c>
      <c r="N178" s="128"/>
    </row>
    <row r="179" spans="1:14" ht="13.5" customHeight="1" x14ac:dyDescent="0.25">
      <c r="A179" s="840" t="str">
        <f t="shared" si="36"/>
        <v>Civil Defence</v>
      </c>
      <c r="B179" s="735"/>
      <c r="C179" s="389">
        <v>28025248</v>
      </c>
      <c r="D179" s="109"/>
      <c r="E179" s="109"/>
      <c r="F179" s="109"/>
      <c r="G179" s="109"/>
      <c r="H179" s="109"/>
      <c r="I179" s="109"/>
      <c r="J179" s="173">
        <f t="shared" si="30"/>
        <v>0</v>
      </c>
      <c r="K179" s="173">
        <f t="shared" si="31"/>
        <v>28025248</v>
      </c>
      <c r="L179" s="109">
        <v>29474804.68</v>
      </c>
      <c r="M179" s="110">
        <v>30980817.977400001</v>
      </c>
      <c r="N179" s="128"/>
    </row>
    <row r="180" spans="1:14" ht="13.5" customHeight="1" x14ac:dyDescent="0.25">
      <c r="A180" s="840" t="str">
        <f t="shared" si="36"/>
        <v>Cleansing</v>
      </c>
      <c r="B180" s="735"/>
      <c r="C180" s="389"/>
      <c r="D180" s="109"/>
      <c r="E180" s="109"/>
      <c r="F180" s="109"/>
      <c r="G180" s="109"/>
      <c r="H180" s="109"/>
      <c r="I180" s="109"/>
      <c r="J180" s="173">
        <f t="shared" si="30"/>
        <v>0</v>
      </c>
      <c r="K180" s="173">
        <f t="shared" si="31"/>
        <v>0</v>
      </c>
      <c r="L180" s="109"/>
      <c r="M180" s="110"/>
      <c r="N180" s="128"/>
    </row>
    <row r="181" spans="1:14" ht="13.5" customHeight="1" x14ac:dyDescent="0.25">
      <c r="A181" s="840" t="str">
        <f t="shared" si="36"/>
        <v>Control of Public Nuisances</v>
      </c>
      <c r="B181" s="735"/>
      <c r="C181" s="389"/>
      <c r="D181" s="109"/>
      <c r="E181" s="109"/>
      <c r="F181" s="109"/>
      <c r="G181" s="109"/>
      <c r="H181" s="109"/>
      <c r="I181" s="109"/>
      <c r="J181" s="173">
        <f t="shared" si="30"/>
        <v>0</v>
      </c>
      <c r="K181" s="173">
        <f t="shared" si="31"/>
        <v>0</v>
      </c>
      <c r="L181" s="109"/>
      <c r="M181" s="110"/>
      <c r="N181" s="128"/>
    </row>
    <row r="182" spans="1:14" ht="13.5" customHeight="1" x14ac:dyDescent="0.25">
      <c r="A182" s="840" t="str">
        <f t="shared" si="36"/>
        <v xml:space="preserve">Fencing and Fences </v>
      </c>
      <c r="B182" s="735"/>
      <c r="C182" s="389"/>
      <c r="D182" s="109"/>
      <c r="E182" s="109"/>
      <c r="F182" s="109"/>
      <c r="G182" s="109"/>
      <c r="H182" s="109"/>
      <c r="I182" s="109"/>
      <c r="J182" s="173">
        <f t="shared" si="30"/>
        <v>0</v>
      </c>
      <c r="K182" s="173">
        <f t="shared" si="31"/>
        <v>0</v>
      </c>
      <c r="L182" s="109"/>
      <c r="M182" s="110"/>
      <c r="N182" s="128"/>
    </row>
    <row r="183" spans="1:14" ht="13.5" customHeight="1" x14ac:dyDescent="0.25">
      <c r="A183" s="840" t="str">
        <f t="shared" si="36"/>
        <v>Fire Fighting and Protection</v>
      </c>
      <c r="B183" s="735"/>
      <c r="C183" s="389"/>
      <c r="D183" s="109"/>
      <c r="E183" s="109"/>
      <c r="F183" s="109"/>
      <c r="G183" s="109"/>
      <c r="H183" s="109"/>
      <c r="I183" s="109"/>
      <c r="J183" s="173">
        <f t="shared" si="30"/>
        <v>0</v>
      </c>
      <c r="K183" s="173">
        <f t="shared" si="31"/>
        <v>0</v>
      </c>
      <c r="L183" s="109"/>
      <c r="M183" s="110"/>
      <c r="N183" s="128"/>
    </row>
    <row r="184" spans="1:14" ht="13.5" customHeight="1" x14ac:dyDescent="0.25">
      <c r="A184" s="840" t="str">
        <f t="shared" si="36"/>
        <v>Licensing and Control of Animals</v>
      </c>
      <c r="B184" s="735"/>
      <c r="C184" s="389"/>
      <c r="D184" s="109"/>
      <c r="E184" s="109"/>
      <c r="F184" s="109"/>
      <c r="G184" s="109"/>
      <c r="H184" s="109"/>
      <c r="I184" s="109"/>
      <c r="J184" s="173">
        <f>SUM(E184:I184)</f>
        <v>0</v>
      </c>
      <c r="K184" s="173">
        <f>IF(D184=0,C184+J184,D184+J184)</f>
        <v>0</v>
      </c>
      <c r="L184" s="109"/>
      <c r="M184" s="110"/>
      <c r="N184" s="128"/>
    </row>
    <row r="185" spans="1:14" ht="13.5" customHeight="1" x14ac:dyDescent="0.25">
      <c r="A185" s="840" t="str">
        <f t="shared" si="36"/>
        <v>Police Forces, Traffic and Street Parking Control</v>
      </c>
      <c r="B185" s="735"/>
      <c r="C185" s="389"/>
      <c r="D185" s="109"/>
      <c r="E185" s="109"/>
      <c r="F185" s="109"/>
      <c r="G185" s="109"/>
      <c r="H185" s="109"/>
      <c r="I185" s="109"/>
      <c r="J185" s="173">
        <f>SUM(E185:I185)</f>
        <v>0</v>
      </c>
      <c r="K185" s="173">
        <f>IF(D185=0,C185+J185,D185+J185)</f>
        <v>0</v>
      </c>
      <c r="L185" s="109"/>
      <c r="M185" s="110"/>
      <c r="N185" s="128"/>
    </row>
    <row r="186" spans="1:14" ht="13.5" customHeight="1" x14ac:dyDescent="0.25">
      <c r="A186" s="840" t="str">
        <f t="shared" si="36"/>
        <v>Pounds</v>
      </c>
      <c r="B186" s="735"/>
      <c r="C186" s="389"/>
      <c r="D186" s="109"/>
      <c r="E186" s="109"/>
      <c r="F186" s="109"/>
      <c r="G186" s="109"/>
      <c r="H186" s="109"/>
      <c r="I186" s="109"/>
      <c r="J186" s="173">
        <f t="shared" si="30"/>
        <v>0</v>
      </c>
      <c r="K186" s="173">
        <f t="shared" si="31"/>
        <v>0</v>
      </c>
      <c r="L186" s="109"/>
      <c r="M186" s="110"/>
      <c r="N186" s="128"/>
    </row>
    <row r="187" spans="1:14" ht="13.5" customHeight="1" x14ac:dyDescent="0.25">
      <c r="A187" s="721" t="str">
        <f t="shared" si="36"/>
        <v>Housing</v>
      </c>
      <c r="B187" s="735"/>
      <c r="C187" s="722">
        <f>SUM(C188:C189)</f>
        <v>18497726.329999998</v>
      </c>
      <c r="D187" s="270">
        <f t="shared" ref="D187:M187" si="39">SUM(D188:D189)</f>
        <v>0</v>
      </c>
      <c r="E187" s="270">
        <f t="shared" si="39"/>
        <v>0</v>
      </c>
      <c r="F187" s="270">
        <f t="shared" si="39"/>
        <v>0</v>
      </c>
      <c r="G187" s="270">
        <f t="shared" si="39"/>
        <v>0</v>
      </c>
      <c r="H187" s="270">
        <f t="shared" si="39"/>
        <v>0</v>
      </c>
      <c r="I187" s="270">
        <f t="shared" si="39"/>
        <v>300000</v>
      </c>
      <c r="J187" s="270">
        <f t="shared" si="30"/>
        <v>300000</v>
      </c>
      <c r="K187" s="270">
        <f t="shared" si="31"/>
        <v>18797726.329999998</v>
      </c>
      <c r="L187" s="270">
        <f t="shared" si="39"/>
        <v>19368824.323150001</v>
      </c>
      <c r="M187" s="271">
        <f t="shared" si="39"/>
        <v>20382973.705923256</v>
      </c>
      <c r="N187" s="128"/>
    </row>
    <row r="188" spans="1:14" ht="13.5" customHeight="1" x14ac:dyDescent="0.25">
      <c r="A188" s="840" t="str">
        <f t="shared" si="36"/>
        <v>Housing</v>
      </c>
      <c r="B188" s="735"/>
      <c r="C188" s="389">
        <v>18497726.329999998</v>
      </c>
      <c r="D188" s="109"/>
      <c r="E188" s="109"/>
      <c r="F188" s="109"/>
      <c r="G188" s="109"/>
      <c r="H188" s="109"/>
      <c r="I188" s="109">
        <v>300000</v>
      </c>
      <c r="J188" s="173">
        <f t="shared" si="30"/>
        <v>300000</v>
      </c>
      <c r="K188" s="173">
        <f t="shared" si="31"/>
        <v>18797726.329999998</v>
      </c>
      <c r="L188" s="109">
        <v>19368824.323150001</v>
      </c>
      <c r="M188" s="110">
        <v>20382973.705923256</v>
      </c>
      <c r="N188" s="128"/>
    </row>
    <row r="189" spans="1:14" ht="13.5" customHeight="1" x14ac:dyDescent="0.25">
      <c r="A189" s="840" t="str">
        <f t="shared" si="36"/>
        <v>Informal Settlements</v>
      </c>
      <c r="B189" s="735"/>
      <c r="C189" s="389"/>
      <c r="D189" s="109"/>
      <c r="E189" s="109"/>
      <c r="F189" s="109"/>
      <c r="G189" s="109"/>
      <c r="H189" s="109"/>
      <c r="I189" s="109"/>
      <c r="J189" s="173">
        <f t="shared" si="30"/>
        <v>0</v>
      </c>
      <c r="K189" s="173">
        <f t="shared" si="31"/>
        <v>0</v>
      </c>
      <c r="L189" s="109"/>
      <c r="M189" s="110"/>
      <c r="N189" s="128"/>
    </row>
    <row r="190" spans="1:14" ht="13.5" customHeight="1" x14ac:dyDescent="0.25">
      <c r="A190" s="721" t="str">
        <f t="shared" si="36"/>
        <v>Health</v>
      </c>
      <c r="B190" s="735"/>
      <c r="C190" s="722">
        <f t="shared" ref="C190:I190" si="40">SUM(C191:C197)</f>
        <v>12110485</v>
      </c>
      <c r="D190" s="270">
        <f t="shared" si="40"/>
        <v>0</v>
      </c>
      <c r="E190" s="270">
        <f t="shared" si="40"/>
        <v>0</v>
      </c>
      <c r="F190" s="270">
        <f t="shared" si="40"/>
        <v>0</v>
      </c>
      <c r="G190" s="270">
        <f t="shared" si="40"/>
        <v>0</v>
      </c>
      <c r="H190" s="270">
        <f t="shared" si="40"/>
        <v>0</v>
      </c>
      <c r="I190" s="270">
        <f t="shared" si="40"/>
        <v>0</v>
      </c>
      <c r="J190" s="270">
        <f t="shared" si="30"/>
        <v>0</v>
      </c>
      <c r="K190" s="270">
        <f t="shared" si="31"/>
        <v>12110485</v>
      </c>
      <c r="L190" s="270">
        <f>SUM(L191:L197)</f>
        <v>12749665.244999999</v>
      </c>
      <c r="M190" s="271">
        <f>SUM(M191:M197)</f>
        <v>13452852.403475003</v>
      </c>
      <c r="N190" s="128"/>
    </row>
    <row r="191" spans="1:14" ht="13.5" customHeight="1" x14ac:dyDescent="0.25">
      <c r="A191" s="840" t="str">
        <f t="shared" si="36"/>
        <v>Ambulance</v>
      </c>
      <c r="B191" s="735"/>
      <c r="C191" s="389"/>
      <c r="D191" s="109"/>
      <c r="E191" s="109"/>
      <c r="F191" s="109"/>
      <c r="G191" s="109"/>
      <c r="H191" s="109"/>
      <c r="I191" s="109"/>
      <c r="J191" s="173">
        <f t="shared" si="30"/>
        <v>0</v>
      </c>
      <c r="K191" s="173">
        <f t="shared" si="31"/>
        <v>0</v>
      </c>
      <c r="L191" s="109"/>
      <c r="M191" s="110"/>
      <c r="N191" s="128"/>
    </row>
    <row r="192" spans="1:14" ht="13.5" customHeight="1" x14ac:dyDescent="0.25">
      <c r="A192" s="840" t="str">
        <f t="shared" si="36"/>
        <v>Health Services</v>
      </c>
      <c r="B192" s="735"/>
      <c r="C192" s="389">
        <v>12110485</v>
      </c>
      <c r="D192" s="109"/>
      <c r="E192" s="109"/>
      <c r="F192" s="109"/>
      <c r="G192" s="109"/>
      <c r="H192" s="109"/>
      <c r="I192" s="109"/>
      <c r="J192" s="173">
        <f t="shared" si="30"/>
        <v>0</v>
      </c>
      <c r="K192" s="173">
        <f t="shared" si="31"/>
        <v>12110485</v>
      </c>
      <c r="L192" s="109">
        <v>12749665.244999999</v>
      </c>
      <c r="M192" s="110">
        <v>13452852.403475003</v>
      </c>
      <c r="N192" s="128"/>
    </row>
    <row r="193" spans="1:14" ht="13.5" customHeight="1" x14ac:dyDescent="0.25">
      <c r="A193" s="840" t="str">
        <f t="shared" ref="A193:A224" si="41">A71</f>
        <v>Laboratory Services</v>
      </c>
      <c r="B193" s="735"/>
      <c r="C193" s="389"/>
      <c r="D193" s="109"/>
      <c r="E193" s="109"/>
      <c r="F193" s="109"/>
      <c r="G193" s="109"/>
      <c r="H193" s="109"/>
      <c r="I193" s="109"/>
      <c r="J193" s="173">
        <f t="shared" si="30"/>
        <v>0</v>
      </c>
      <c r="K193" s="173">
        <f t="shared" si="31"/>
        <v>0</v>
      </c>
      <c r="L193" s="109"/>
      <c r="M193" s="110"/>
      <c r="N193" s="128"/>
    </row>
    <row r="194" spans="1:14" ht="13.5" customHeight="1" x14ac:dyDescent="0.25">
      <c r="A194" s="840" t="str">
        <f t="shared" si="41"/>
        <v>Food Control</v>
      </c>
      <c r="B194" s="735"/>
      <c r="C194" s="389"/>
      <c r="D194" s="109"/>
      <c r="E194" s="109"/>
      <c r="F194" s="109"/>
      <c r="G194" s="109"/>
      <c r="H194" s="109"/>
      <c r="I194" s="109"/>
      <c r="J194" s="173">
        <f t="shared" si="30"/>
        <v>0</v>
      </c>
      <c r="K194" s="173">
        <f t="shared" si="31"/>
        <v>0</v>
      </c>
      <c r="L194" s="109"/>
      <c r="M194" s="110"/>
      <c r="N194" s="128"/>
    </row>
    <row r="195" spans="1:14" ht="13.5" customHeight="1" x14ac:dyDescent="0.25">
      <c r="A195" s="840" t="str">
        <f t="shared" si="41"/>
        <v>Health Surveillance and Prevention of Communicable Diseases including immunizations</v>
      </c>
      <c r="B195" s="735"/>
      <c r="C195" s="389"/>
      <c r="D195" s="109"/>
      <c r="E195" s="109"/>
      <c r="F195" s="109"/>
      <c r="G195" s="109"/>
      <c r="H195" s="109"/>
      <c r="I195" s="109"/>
      <c r="J195" s="173">
        <f t="shared" si="30"/>
        <v>0</v>
      </c>
      <c r="K195" s="173">
        <f t="shared" si="31"/>
        <v>0</v>
      </c>
      <c r="L195" s="109"/>
      <c r="M195" s="110"/>
      <c r="N195" s="128"/>
    </row>
    <row r="196" spans="1:14" ht="13.5" customHeight="1" x14ac:dyDescent="0.25">
      <c r="A196" s="840" t="str">
        <f t="shared" si="41"/>
        <v>Vector Control</v>
      </c>
      <c r="B196" s="735"/>
      <c r="C196" s="389"/>
      <c r="D196" s="109"/>
      <c r="E196" s="109"/>
      <c r="F196" s="109"/>
      <c r="G196" s="109"/>
      <c r="H196" s="109"/>
      <c r="I196" s="109"/>
      <c r="J196" s="173">
        <f t="shared" si="30"/>
        <v>0</v>
      </c>
      <c r="K196" s="173">
        <f t="shared" si="31"/>
        <v>0</v>
      </c>
      <c r="L196" s="109"/>
      <c r="M196" s="110"/>
      <c r="N196" s="128"/>
    </row>
    <row r="197" spans="1:14" ht="13.5" customHeight="1" x14ac:dyDescent="0.25">
      <c r="A197" s="840" t="str">
        <f t="shared" si="41"/>
        <v>Chemical Safety</v>
      </c>
      <c r="B197" s="735"/>
      <c r="C197" s="389"/>
      <c r="D197" s="109"/>
      <c r="E197" s="109"/>
      <c r="F197" s="109"/>
      <c r="G197" s="109"/>
      <c r="H197" s="109"/>
      <c r="I197" s="109"/>
      <c r="J197" s="173">
        <f t="shared" si="30"/>
        <v>0</v>
      </c>
      <c r="K197" s="173">
        <f t="shared" si="31"/>
        <v>0</v>
      </c>
      <c r="L197" s="109"/>
      <c r="M197" s="110"/>
      <c r="N197" s="128"/>
    </row>
    <row r="198" spans="1:14" ht="13.5" customHeight="1" x14ac:dyDescent="0.25">
      <c r="A198" s="107" t="str">
        <f t="shared" si="41"/>
        <v>Economic and environmental services</v>
      </c>
      <c r="B198" s="735"/>
      <c r="C198" s="719">
        <f t="shared" ref="C198:I198" si="42">C199+C210+C215</f>
        <v>226364347.51000002</v>
      </c>
      <c r="D198" s="718">
        <f t="shared" si="42"/>
        <v>0</v>
      </c>
      <c r="E198" s="718">
        <f t="shared" si="42"/>
        <v>0</v>
      </c>
      <c r="F198" s="718">
        <f t="shared" si="42"/>
        <v>0</v>
      </c>
      <c r="G198" s="718">
        <f t="shared" si="42"/>
        <v>0</v>
      </c>
      <c r="H198" s="718">
        <f t="shared" si="42"/>
        <v>0</v>
      </c>
      <c r="I198" s="718">
        <f t="shared" si="42"/>
        <v>3699687</v>
      </c>
      <c r="J198" s="718">
        <f t="shared" si="30"/>
        <v>3699687</v>
      </c>
      <c r="K198" s="718">
        <f t="shared" si="31"/>
        <v>230064034.51000002</v>
      </c>
      <c r="L198" s="718">
        <f>L199+L210+L215</f>
        <v>233799077.56304994</v>
      </c>
      <c r="M198" s="720">
        <f>M199+M210+M215</f>
        <v>242124933.0440177</v>
      </c>
      <c r="N198" s="128"/>
    </row>
    <row r="199" spans="1:14" ht="13.5" customHeight="1" x14ac:dyDescent="0.25">
      <c r="A199" s="721" t="str">
        <f t="shared" si="41"/>
        <v>Planning and development</v>
      </c>
      <c r="B199" s="735"/>
      <c r="C199" s="722">
        <f t="shared" ref="C199:I199" si="43">SUM(C200:C209)</f>
        <v>27944056.59</v>
      </c>
      <c r="D199" s="270">
        <f t="shared" si="43"/>
        <v>0</v>
      </c>
      <c r="E199" s="270">
        <f t="shared" si="43"/>
        <v>0</v>
      </c>
      <c r="F199" s="270">
        <f t="shared" si="43"/>
        <v>0</v>
      </c>
      <c r="G199" s="270">
        <f t="shared" si="43"/>
        <v>0</v>
      </c>
      <c r="H199" s="270">
        <f t="shared" si="43"/>
        <v>0</v>
      </c>
      <c r="I199" s="270">
        <f t="shared" si="43"/>
        <v>-150000</v>
      </c>
      <c r="J199" s="270">
        <f t="shared" si="30"/>
        <v>-150000</v>
      </c>
      <c r="K199" s="270">
        <f t="shared" si="31"/>
        <v>27794056.59</v>
      </c>
      <c r="L199" s="270">
        <f>SUM(L200:L209)</f>
        <v>29470781.82244999</v>
      </c>
      <c r="M199" s="271">
        <f>SUM(M200:M209)</f>
        <v>31119192.942684736</v>
      </c>
      <c r="N199" s="128"/>
    </row>
    <row r="200" spans="1:14" ht="13.5" customHeight="1" x14ac:dyDescent="0.25">
      <c r="A200" s="840" t="str">
        <f t="shared" si="41"/>
        <v>Billboards</v>
      </c>
      <c r="B200" s="735"/>
      <c r="C200" s="389"/>
      <c r="D200" s="109"/>
      <c r="E200" s="109"/>
      <c r="F200" s="109"/>
      <c r="G200" s="109"/>
      <c r="H200" s="109"/>
      <c r="I200" s="109"/>
      <c r="J200" s="173">
        <f t="shared" si="30"/>
        <v>0</v>
      </c>
      <c r="K200" s="173">
        <f t="shared" si="31"/>
        <v>0</v>
      </c>
      <c r="L200" s="109"/>
      <c r="M200" s="110"/>
      <c r="N200" s="128"/>
    </row>
    <row r="201" spans="1:14" ht="13.5" customHeight="1" x14ac:dyDescent="0.25">
      <c r="A201" s="840" t="str">
        <f t="shared" si="41"/>
        <v>Corporate Wide Strategic Planning (IDPs, LEDs)</v>
      </c>
      <c r="B201" s="735"/>
      <c r="C201" s="389">
        <v>3156169</v>
      </c>
      <c r="D201" s="109"/>
      <c r="E201" s="109"/>
      <c r="F201" s="109"/>
      <c r="G201" s="109"/>
      <c r="H201" s="109"/>
      <c r="I201" s="109"/>
      <c r="J201" s="173">
        <f t="shared" si="30"/>
        <v>0</v>
      </c>
      <c r="K201" s="173">
        <f t="shared" si="31"/>
        <v>3156169</v>
      </c>
      <c r="L201" s="109">
        <v>3328717.8600000003</v>
      </c>
      <c r="M201" s="110">
        <v>3510687.9072999996</v>
      </c>
      <c r="N201" s="128"/>
    </row>
    <row r="202" spans="1:14" ht="13.5" customHeight="1" x14ac:dyDescent="0.25">
      <c r="A202" s="840" t="str">
        <f t="shared" si="41"/>
        <v>Central City Improvement District</v>
      </c>
      <c r="B202" s="735"/>
      <c r="C202" s="389"/>
      <c r="D202" s="109"/>
      <c r="E202" s="109"/>
      <c r="F202" s="109"/>
      <c r="G202" s="109"/>
      <c r="H202" s="109"/>
      <c r="I202" s="109"/>
      <c r="J202" s="173">
        <f t="shared" ref="J202:J249" si="44">SUM(E202:I202)</f>
        <v>0</v>
      </c>
      <c r="K202" s="173">
        <f t="shared" ref="K202:K249" si="45">IF(D202=0,C202+J202,D202+J202)</f>
        <v>0</v>
      </c>
      <c r="L202" s="109"/>
      <c r="M202" s="110"/>
      <c r="N202" s="128"/>
    </row>
    <row r="203" spans="1:14" ht="13.5" customHeight="1" x14ac:dyDescent="0.25">
      <c r="A203" s="840" t="str">
        <f t="shared" si="41"/>
        <v>Development Facilitation</v>
      </c>
      <c r="B203" s="735"/>
      <c r="C203" s="389"/>
      <c r="D203" s="109"/>
      <c r="E203" s="109"/>
      <c r="F203" s="109"/>
      <c r="G203" s="109"/>
      <c r="H203" s="109"/>
      <c r="I203" s="109"/>
      <c r="J203" s="173">
        <f t="shared" si="44"/>
        <v>0</v>
      </c>
      <c r="K203" s="173">
        <f t="shared" si="45"/>
        <v>0</v>
      </c>
      <c r="L203" s="109"/>
      <c r="M203" s="110"/>
      <c r="N203" s="128"/>
    </row>
    <row r="204" spans="1:14" ht="13.5" customHeight="1" x14ac:dyDescent="0.25">
      <c r="A204" s="840" t="str">
        <f t="shared" si="41"/>
        <v>Economic Development/Planning</v>
      </c>
      <c r="B204" s="735"/>
      <c r="C204" s="389">
        <v>18105001.59</v>
      </c>
      <c r="D204" s="109"/>
      <c r="E204" s="109"/>
      <c r="F204" s="109"/>
      <c r="G204" s="109"/>
      <c r="H204" s="109"/>
      <c r="I204" s="109">
        <f>-50000-20000</f>
        <v>-70000</v>
      </c>
      <c r="J204" s="173">
        <f t="shared" si="44"/>
        <v>-70000</v>
      </c>
      <c r="K204" s="173">
        <f t="shared" si="45"/>
        <v>18035001.59</v>
      </c>
      <c r="L204" s="109">
        <v>19092077.382449992</v>
      </c>
      <c r="M204" s="110">
        <v>20170736.343484737</v>
      </c>
      <c r="N204" s="128"/>
    </row>
    <row r="205" spans="1:14" ht="13.5" customHeight="1" x14ac:dyDescent="0.25">
      <c r="A205" s="840" t="str">
        <f t="shared" si="41"/>
        <v>Regional Planning and Development</v>
      </c>
      <c r="B205" s="735"/>
      <c r="C205" s="389">
        <v>6682886</v>
      </c>
      <c r="D205" s="109"/>
      <c r="E205" s="109"/>
      <c r="F205" s="109"/>
      <c r="G205" s="109"/>
      <c r="H205" s="109"/>
      <c r="I205" s="109">
        <v>-80000</v>
      </c>
      <c r="J205" s="173">
        <f t="shared" si="44"/>
        <v>-80000</v>
      </c>
      <c r="K205" s="173">
        <f t="shared" si="45"/>
        <v>6602886</v>
      </c>
      <c r="L205" s="109">
        <v>7049986.5800000001</v>
      </c>
      <c r="M205" s="110">
        <v>7437768.6919</v>
      </c>
      <c r="N205" s="128"/>
    </row>
    <row r="206" spans="1:14" ht="19.899999999999999" customHeight="1" x14ac:dyDescent="0.25">
      <c r="A206" s="840" t="str">
        <f t="shared" si="41"/>
        <v>Town Planning, Building Regulations and Enforcement, and City Engineer</v>
      </c>
      <c r="B206" s="735"/>
      <c r="C206" s="389"/>
      <c r="D206" s="109"/>
      <c r="E206" s="109"/>
      <c r="F206" s="109"/>
      <c r="G206" s="109"/>
      <c r="H206" s="109"/>
      <c r="I206" s="109"/>
      <c r="J206" s="173">
        <f t="shared" si="44"/>
        <v>0</v>
      </c>
      <c r="K206" s="173">
        <f t="shared" si="45"/>
        <v>0</v>
      </c>
      <c r="L206" s="109"/>
      <c r="M206" s="110"/>
      <c r="N206" s="128"/>
    </row>
    <row r="207" spans="1:14" ht="13.5" customHeight="1" x14ac:dyDescent="0.25">
      <c r="A207" s="840" t="str">
        <f t="shared" si="41"/>
        <v>Project Management Unit</v>
      </c>
      <c r="B207" s="735"/>
      <c r="C207" s="389"/>
      <c r="D207" s="109"/>
      <c r="E207" s="109"/>
      <c r="F207" s="109"/>
      <c r="G207" s="109"/>
      <c r="H207" s="109"/>
      <c r="I207" s="109"/>
      <c r="J207" s="173">
        <f t="shared" si="44"/>
        <v>0</v>
      </c>
      <c r="K207" s="173">
        <f t="shared" si="45"/>
        <v>0</v>
      </c>
      <c r="L207" s="109"/>
      <c r="M207" s="110"/>
      <c r="N207" s="128"/>
    </row>
    <row r="208" spans="1:14" ht="13.5" customHeight="1" x14ac:dyDescent="0.25">
      <c r="A208" s="840" t="str">
        <f t="shared" si="41"/>
        <v>Provincial Planning</v>
      </c>
      <c r="B208" s="735"/>
      <c r="C208" s="389"/>
      <c r="D208" s="109"/>
      <c r="E208" s="109"/>
      <c r="F208" s="109"/>
      <c r="G208" s="109"/>
      <c r="H208" s="109"/>
      <c r="I208" s="109"/>
      <c r="J208" s="173">
        <f t="shared" si="44"/>
        <v>0</v>
      </c>
      <c r="K208" s="173">
        <f t="shared" si="45"/>
        <v>0</v>
      </c>
      <c r="L208" s="109"/>
      <c r="M208" s="110"/>
      <c r="N208" s="128"/>
    </row>
    <row r="209" spans="1:14" ht="13.5" customHeight="1" x14ac:dyDescent="0.25">
      <c r="A209" s="840" t="str">
        <f t="shared" si="41"/>
        <v>Support to Local Municipalities</v>
      </c>
      <c r="B209" s="735"/>
      <c r="C209" s="389"/>
      <c r="D209" s="109"/>
      <c r="E209" s="109"/>
      <c r="F209" s="109"/>
      <c r="G209" s="109"/>
      <c r="H209" s="109"/>
      <c r="I209" s="109"/>
      <c r="J209" s="173">
        <f t="shared" si="44"/>
        <v>0</v>
      </c>
      <c r="K209" s="173">
        <f t="shared" si="45"/>
        <v>0</v>
      </c>
      <c r="L209" s="109"/>
      <c r="M209" s="110"/>
      <c r="N209" s="128"/>
    </row>
    <row r="210" spans="1:14" ht="13.5" customHeight="1" x14ac:dyDescent="0.25">
      <c r="A210" s="721" t="str">
        <f t="shared" si="41"/>
        <v>Road transport</v>
      </c>
      <c r="B210" s="735"/>
      <c r="C210" s="722">
        <f t="shared" ref="C210:I210" si="46">SUM(C211:C214)</f>
        <v>198420290.92000002</v>
      </c>
      <c r="D210" s="270">
        <f t="shared" si="46"/>
        <v>0</v>
      </c>
      <c r="E210" s="270">
        <f t="shared" si="46"/>
        <v>0</v>
      </c>
      <c r="F210" s="270">
        <f t="shared" si="46"/>
        <v>0</v>
      </c>
      <c r="G210" s="270">
        <f t="shared" si="46"/>
        <v>0</v>
      </c>
      <c r="H210" s="270">
        <f t="shared" si="46"/>
        <v>0</v>
      </c>
      <c r="I210" s="270">
        <f t="shared" si="46"/>
        <v>3849687</v>
      </c>
      <c r="J210" s="270">
        <f t="shared" si="44"/>
        <v>3849687</v>
      </c>
      <c r="K210" s="270">
        <f t="shared" si="45"/>
        <v>202269977.92000002</v>
      </c>
      <c r="L210" s="270">
        <f>SUM(L211:L214)</f>
        <v>204328295.74059996</v>
      </c>
      <c r="M210" s="271">
        <f>SUM(M211:M214)</f>
        <v>211005740.10133296</v>
      </c>
      <c r="N210" s="128"/>
    </row>
    <row r="211" spans="1:14" ht="13.5" customHeight="1" x14ac:dyDescent="0.25">
      <c r="A211" s="840" t="str">
        <f t="shared" si="41"/>
        <v>Public Transport</v>
      </c>
      <c r="B211" s="735"/>
      <c r="C211" s="389"/>
      <c r="D211" s="109"/>
      <c r="E211" s="109"/>
      <c r="F211" s="109"/>
      <c r="G211" s="109"/>
      <c r="H211" s="109"/>
      <c r="I211" s="109"/>
      <c r="J211" s="173">
        <f t="shared" si="44"/>
        <v>0</v>
      </c>
      <c r="K211" s="173">
        <f t="shared" si="45"/>
        <v>0</v>
      </c>
      <c r="L211" s="109"/>
      <c r="M211" s="110"/>
      <c r="N211" s="128"/>
    </row>
    <row r="212" spans="1:14" ht="13.5" customHeight="1" x14ac:dyDescent="0.25">
      <c r="A212" s="840" t="str">
        <f t="shared" si="41"/>
        <v>Road and Traffic Regulation</v>
      </c>
      <c r="B212" s="735"/>
      <c r="C212" s="389"/>
      <c r="D212" s="109"/>
      <c r="E212" s="109"/>
      <c r="F212" s="109"/>
      <c r="G212" s="109"/>
      <c r="H212" s="109"/>
      <c r="I212" s="109"/>
      <c r="J212" s="173">
        <f t="shared" si="44"/>
        <v>0</v>
      </c>
      <c r="K212" s="173">
        <f t="shared" si="45"/>
        <v>0</v>
      </c>
      <c r="L212" s="109"/>
      <c r="M212" s="110"/>
      <c r="N212" s="128"/>
    </row>
    <row r="213" spans="1:14" ht="13.5" customHeight="1" x14ac:dyDescent="0.25">
      <c r="A213" s="840" t="str">
        <f t="shared" si="41"/>
        <v>Roads</v>
      </c>
      <c r="B213" s="735"/>
      <c r="C213" s="389">
        <v>198420290.92000002</v>
      </c>
      <c r="D213" s="109"/>
      <c r="E213" s="109"/>
      <c r="F213" s="109"/>
      <c r="G213" s="109"/>
      <c r="H213" s="109"/>
      <c r="I213" s="109">
        <f>3000000+849687</f>
        <v>3849687</v>
      </c>
      <c r="J213" s="173">
        <f t="shared" si="44"/>
        <v>3849687</v>
      </c>
      <c r="K213" s="173">
        <f t="shared" si="45"/>
        <v>202269977.92000002</v>
      </c>
      <c r="L213" s="109">
        <v>204328295.74059996</v>
      </c>
      <c r="M213" s="110">
        <v>211005740.10133296</v>
      </c>
      <c r="N213" s="128"/>
    </row>
    <row r="214" spans="1:14" ht="13.5" customHeight="1" x14ac:dyDescent="0.25">
      <c r="A214" s="840" t="str">
        <f t="shared" si="41"/>
        <v>Taxi Ranks</v>
      </c>
      <c r="B214" s="735"/>
      <c r="C214" s="389"/>
      <c r="D214" s="109"/>
      <c r="E214" s="109"/>
      <c r="F214" s="109"/>
      <c r="G214" s="109"/>
      <c r="H214" s="109"/>
      <c r="I214" s="109"/>
      <c r="J214" s="173">
        <f t="shared" si="44"/>
        <v>0</v>
      </c>
      <c r="K214" s="173">
        <f t="shared" si="45"/>
        <v>0</v>
      </c>
      <c r="L214" s="109"/>
      <c r="M214" s="110"/>
      <c r="N214" s="128"/>
    </row>
    <row r="215" spans="1:14" ht="13.5" customHeight="1" x14ac:dyDescent="0.25">
      <c r="A215" s="721" t="str">
        <f t="shared" si="41"/>
        <v>Environmental protection</v>
      </c>
      <c r="B215" s="735"/>
      <c r="C215" s="722">
        <f t="shared" ref="C215:I215" si="47">SUM(C216:C221)</f>
        <v>0</v>
      </c>
      <c r="D215" s="270">
        <f t="shared" si="47"/>
        <v>0</v>
      </c>
      <c r="E215" s="270">
        <f t="shared" si="47"/>
        <v>0</v>
      </c>
      <c r="F215" s="270">
        <f t="shared" si="47"/>
        <v>0</v>
      </c>
      <c r="G215" s="270">
        <f t="shared" si="47"/>
        <v>0</v>
      </c>
      <c r="H215" s="270">
        <f t="shared" si="47"/>
        <v>0</v>
      </c>
      <c r="I215" s="270">
        <f t="shared" si="47"/>
        <v>0</v>
      </c>
      <c r="J215" s="270">
        <f t="shared" si="44"/>
        <v>0</v>
      </c>
      <c r="K215" s="270">
        <f t="shared" si="45"/>
        <v>0</v>
      </c>
      <c r="L215" s="270">
        <f>SUM(L216:L221)</f>
        <v>0</v>
      </c>
      <c r="M215" s="271">
        <f>SUM(M216:M221)</f>
        <v>0</v>
      </c>
      <c r="N215" s="128"/>
    </row>
    <row r="216" spans="1:14" ht="13.5" customHeight="1" x14ac:dyDescent="0.25">
      <c r="A216" s="840" t="str">
        <f t="shared" si="41"/>
        <v>Biodiversity and Landscape</v>
      </c>
      <c r="B216" s="735"/>
      <c r="C216" s="389"/>
      <c r="D216" s="109"/>
      <c r="E216" s="109"/>
      <c r="F216" s="109"/>
      <c r="G216" s="109"/>
      <c r="H216" s="109"/>
      <c r="I216" s="109"/>
      <c r="J216" s="173">
        <f t="shared" si="44"/>
        <v>0</v>
      </c>
      <c r="K216" s="173">
        <f t="shared" si="45"/>
        <v>0</v>
      </c>
      <c r="L216" s="109"/>
      <c r="M216" s="110"/>
      <c r="N216" s="128"/>
    </row>
    <row r="217" spans="1:14" ht="13.5" customHeight="1" x14ac:dyDescent="0.25">
      <c r="A217" s="840" t="str">
        <f t="shared" si="41"/>
        <v>Coastal Protection</v>
      </c>
      <c r="B217" s="735"/>
      <c r="C217" s="389"/>
      <c r="D217" s="109"/>
      <c r="E217" s="109"/>
      <c r="F217" s="109"/>
      <c r="G217" s="109"/>
      <c r="H217" s="109"/>
      <c r="I217" s="109"/>
      <c r="J217" s="173">
        <f t="shared" si="44"/>
        <v>0</v>
      </c>
      <c r="K217" s="173">
        <f t="shared" si="45"/>
        <v>0</v>
      </c>
      <c r="L217" s="109"/>
      <c r="M217" s="110"/>
      <c r="N217" s="128"/>
    </row>
    <row r="218" spans="1:14" ht="13.5" customHeight="1" x14ac:dyDescent="0.25">
      <c r="A218" s="840" t="str">
        <f t="shared" si="41"/>
        <v>Indigenous Forests</v>
      </c>
      <c r="B218" s="735"/>
      <c r="C218" s="389"/>
      <c r="D218" s="109"/>
      <c r="E218" s="109"/>
      <c r="F218" s="109"/>
      <c r="G218" s="109"/>
      <c r="H218" s="109"/>
      <c r="I218" s="109"/>
      <c r="J218" s="173">
        <f t="shared" si="44"/>
        <v>0</v>
      </c>
      <c r="K218" s="173">
        <f t="shared" si="45"/>
        <v>0</v>
      </c>
      <c r="L218" s="109"/>
      <c r="M218" s="110"/>
      <c r="N218" s="128"/>
    </row>
    <row r="219" spans="1:14" ht="13.5" customHeight="1" x14ac:dyDescent="0.25">
      <c r="A219" s="840" t="str">
        <f t="shared" si="41"/>
        <v>Nature Conservation</v>
      </c>
      <c r="B219" s="735"/>
      <c r="C219" s="389"/>
      <c r="D219" s="109"/>
      <c r="E219" s="109"/>
      <c r="F219" s="109"/>
      <c r="G219" s="109"/>
      <c r="H219" s="109"/>
      <c r="I219" s="109"/>
      <c r="J219" s="173">
        <f t="shared" si="44"/>
        <v>0</v>
      </c>
      <c r="K219" s="173">
        <f t="shared" si="45"/>
        <v>0</v>
      </c>
      <c r="L219" s="109"/>
      <c r="M219" s="110"/>
      <c r="N219" s="128"/>
    </row>
    <row r="220" spans="1:14" ht="13.5" customHeight="1" x14ac:dyDescent="0.25">
      <c r="A220" s="840" t="str">
        <f t="shared" si="41"/>
        <v>Pollution Control</v>
      </c>
      <c r="B220" s="735"/>
      <c r="C220" s="389"/>
      <c r="D220" s="109"/>
      <c r="E220" s="109"/>
      <c r="F220" s="109"/>
      <c r="G220" s="109"/>
      <c r="H220" s="109"/>
      <c r="I220" s="109"/>
      <c r="J220" s="173">
        <f t="shared" si="44"/>
        <v>0</v>
      </c>
      <c r="K220" s="173">
        <f t="shared" si="45"/>
        <v>0</v>
      </c>
      <c r="L220" s="109"/>
      <c r="M220" s="110"/>
      <c r="N220" s="128"/>
    </row>
    <row r="221" spans="1:14" ht="13.5" customHeight="1" x14ac:dyDescent="0.25">
      <c r="A221" s="840" t="str">
        <f t="shared" si="41"/>
        <v>Soil Conservation</v>
      </c>
      <c r="B221" s="735"/>
      <c r="C221" s="389"/>
      <c r="D221" s="109"/>
      <c r="E221" s="109"/>
      <c r="F221" s="109"/>
      <c r="G221" s="109"/>
      <c r="H221" s="109"/>
      <c r="I221" s="109"/>
      <c r="J221" s="173">
        <f t="shared" si="44"/>
        <v>0</v>
      </c>
      <c r="K221" s="173">
        <f t="shared" si="45"/>
        <v>0</v>
      </c>
      <c r="L221" s="109"/>
      <c r="M221" s="110"/>
      <c r="N221" s="128"/>
    </row>
    <row r="222" spans="1:14" ht="13.5" customHeight="1" x14ac:dyDescent="0.25">
      <c r="A222" s="107" t="str">
        <f t="shared" si="41"/>
        <v>Trading services</v>
      </c>
      <c r="B222" s="735"/>
      <c r="C222" s="719">
        <f>C223+C227+C231+C236</f>
        <v>593569995.11000001</v>
      </c>
      <c r="D222" s="718">
        <f t="shared" ref="D222:M222" si="48">D223+D227+D231+D236</f>
        <v>0</v>
      </c>
      <c r="E222" s="718">
        <f t="shared" si="48"/>
        <v>0</v>
      </c>
      <c r="F222" s="718">
        <f t="shared" si="48"/>
        <v>0</v>
      </c>
      <c r="G222" s="718">
        <f t="shared" si="48"/>
        <v>0</v>
      </c>
      <c r="H222" s="718">
        <f t="shared" si="48"/>
        <v>0</v>
      </c>
      <c r="I222" s="718">
        <f t="shared" si="48"/>
        <v>4406872</v>
      </c>
      <c r="J222" s="718">
        <f t="shared" si="44"/>
        <v>4406872</v>
      </c>
      <c r="K222" s="718">
        <f t="shared" si="45"/>
        <v>597976867.11000001</v>
      </c>
      <c r="L222" s="718">
        <f t="shared" si="48"/>
        <v>621504787.33605003</v>
      </c>
      <c r="M222" s="720">
        <f t="shared" si="48"/>
        <v>652058810.80453277</v>
      </c>
      <c r="N222" s="128"/>
    </row>
    <row r="223" spans="1:14" ht="13.5" customHeight="1" x14ac:dyDescent="0.25">
      <c r="A223" s="721" t="str">
        <f t="shared" si="41"/>
        <v>Energy sources</v>
      </c>
      <c r="B223" s="735"/>
      <c r="C223" s="722">
        <f t="shared" ref="C223:I223" si="49">SUM(C224:C226)</f>
        <v>506151608.48000002</v>
      </c>
      <c r="D223" s="270">
        <f t="shared" si="49"/>
        <v>0</v>
      </c>
      <c r="E223" s="270">
        <f t="shared" si="49"/>
        <v>0</v>
      </c>
      <c r="F223" s="270">
        <f t="shared" si="49"/>
        <v>0</v>
      </c>
      <c r="G223" s="270">
        <f t="shared" si="49"/>
        <v>0</v>
      </c>
      <c r="H223" s="270">
        <f t="shared" si="49"/>
        <v>0</v>
      </c>
      <c r="I223" s="270">
        <f t="shared" si="49"/>
        <v>4406872</v>
      </c>
      <c r="J223" s="270">
        <f t="shared" si="44"/>
        <v>4406872</v>
      </c>
      <c r="K223" s="270">
        <f t="shared" si="45"/>
        <v>510558480.48000002</v>
      </c>
      <c r="L223" s="270">
        <f>SUM(L224:L226)</f>
        <v>531191520.11140001</v>
      </c>
      <c r="M223" s="271">
        <f>SUM(M224:M226)</f>
        <v>557508799.13252699</v>
      </c>
      <c r="N223" s="128"/>
    </row>
    <row r="224" spans="1:14" ht="13.5" customHeight="1" x14ac:dyDescent="0.25">
      <c r="A224" s="840" t="str">
        <f t="shared" si="41"/>
        <v xml:space="preserve">Electricity </v>
      </c>
      <c r="B224" s="735"/>
      <c r="C224" s="389">
        <v>506151608.48000002</v>
      </c>
      <c r="D224" s="109"/>
      <c r="E224" s="109"/>
      <c r="F224" s="109"/>
      <c r="G224" s="109"/>
      <c r="H224" s="109"/>
      <c r="I224" s="109">
        <f>3200000+1206872</f>
        <v>4406872</v>
      </c>
      <c r="J224" s="173">
        <f t="shared" si="44"/>
        <v>4406872</v>
      </c>
      <c r="K224" s="173">
        <f t="shared" si="45"/>
        <v>510558480.48000002</v>
      </c>
      <c r="L224" s="109">
        <f>529918270.1114+1273250</f>
        <v>531191520.11140001</v>
      </c>
      <c r="M224" s="110">
        <f>556165520.132527+1343279</f>
        <v>557508799.13252699</v>
      </c>
      <c r="N224" s="128"/>
    </row>
    <row r="225" spans="1:14" ht="13.5" customHeight="1" x14ac:dyDescent="0.25">
      <c r="A225" s="840" t="str">
        <f t="shared" ref="A225:A247" si="50">A103</f>
        <v>Street Lighting and Signal Systems</v>
      </c>
      <c r="B225" s="735"/>
      <c r="C225" s="389"/>
      <c r="D225" s="109"/>
      <c r="E225" s="109"/>
      <c r="F225" s="109"/>
      <c r="G225" s="109"/>
      <c r="H225" s="109"/>
      <c r="I225" s="109"/>
      <c r="J225" s="173">
        <f t="shared" si="44"/>
        <v>0</v>
      </c>
      <c r="K225" s="173">
        <f t="shared" si="45"/>
        <v>0</v>
      </c>
      <c r="L225" s="109"/>
      <c r="M225" s="110"/>
      <c r="N225" s="128"/>
    </row>
    <row r="226" spans="1:14" ht="13.5" customHeight="1" x14ac:dyDescent="0.25">
      <c r="A226" s="840" t="str">
        <f t="shared" si="50"/>
        <v>Nonelectric Energy</v>
      </c>
      <c r="B226" s="735"/>
      <c r="C226" s="389"/>
      <c r="D226" s="109"/>
      <c r="E226" s="109"/>
      <c r="F226" s="109"/>
      <c r="G226" s="109"/>
      <c r="H226" s="109"/>
      <c r="I226" s="109"/>
      <c r="J226" s="173">
        <f t="shared" si="44"/>
        <v>0</v>
      </c>
      <c r="K226" s="173">
        <f t="shared" si="45"/>
        <v>0</v>
      </c>
      <c r="L226" s="109"/>
      <c r="M226" s="110"/>
      <c r="N226" s="128"/>
    </row>
    <row r="227" spans="1:14" ht="13.5" customHeight="1" x14ac:dyDescent="0.25">
      <c r="A227" s="721" t="str">
        <f t="shared" si="50"/>
        <v>Water management</v>
      </c>
      <c r="B227" s="735"/>
      <c r="C227" s="722">
        <f t="shared" ref="C227:I227" si="51">SUM(C228:C230)</f>
        <v>0</v>
      </c>
      <c r="D227" s="270">
        <f t="shared" si="51"/>
        <v>0</v>
      </c>
      <c r="E227" s="270">
        <f t="shared" si="51"/>
        <v>0</v>
      </c>
      <c r="F227" s="270">
        <f t="shared" si="51"/>
        <v>0</v>
      </c>
      <c r="G227" s="270">
        <f t="shared" si="51"/>
        <v>0</v>
      </c>
      <c r="H227" s="270">
        <f t="shared" si="51"/>
        <v>0</v>
      </c>
      <c r="I227" s="270">
        <f t="shared" si="51"/>
        <v>0</v>
      </c>
      <c r="J227" s="270">
        <f t="shared" si="44"/>
        <v>0</v>
      </c>
      <c r="K227" s="270">
        <f t="shared" si="45"/>
        <v>0</v>
      </c>
      <c r="L227" s="270">
        <f>SUM(L228:L230)</f>
        <v>0</v>
      </c>
      <c r="M227" s="271">
        <f>SUM(M228:M230)</f>
        <v>0</v>
      </c>
      <c r="N227" s="128"/>
    </row>
    <row r="228" spans="1:14" ht="13.5" customHeight="1" x14ac:dyDescent="0.25">
      <c r="A228" s="840" t="str">
        <f t="shared" si="50"/>
        <v>Water Treatment</v>
      </c>
      <c r="B228" s="735"/>
      <c r="C228" s="389"/>
      <c r="D228" s="109"/>
      <c r="E228" s="109"/>
      <c r="F228" s="109"/>
      <c r="G228" s="109"/>
      <c r="H228" s="109"/>
      <c r="I228" s="109"/>
      <c r="J228" s="173">
        <f t="shared" si="44"/>
        <v>0</v>
      </c>
      <c r="K228" s="173">
        <f t="shared" si="45"/>
        <v>0</v>
      </c>
      <c r="L228" s="109"/>
      <c r="M228" s="110"/>
      <c r="N228" s="128"/>
    </row>
    <row r="229" spans="1:14" ht="13.5" customHeight="1" x14ac:dyDescent="0.25">
      <c r="A229" s="840" t="str">
        <f t="shared" si="50"/>
        <v>Water Distribution</v>
      </c>
      <c r="B229" s="735"/>
      <c r="C229" s="389"/>
      <c r="D229" s="109"/>
      <c r="E229" s="109"/>
      <c r="F229" s="109"/>
      <c r="G229" s="109"/>
      <c r="H229" s="109"/>
      <c r="I229" s="109"/>
      <c r="J229" s="173">
        <f t="shared" si="44"/>
        <v>0</v>
      </c>
      <c r="K229" s="173">
        <f t="shared" si="45"/>
        <v>0</v>
      </c>
      <c r="L229" s="109"/>
      <c r="M229" s="110"/>
      <c r="N229" s="128"/>
    </row>
    <row r="230" spans="1:14" ht="13.5" customHeight="1" x14ac:dyDescent="0.25">
      <c r="A230" s="840" t="str">
        <f t="shared" si="50"/>
        <v>Water Storage</v>
      </c>
      <c r="B230" s="735"/>
      <c r="C230" s="389"/>
      <c r="D230" s="109"/>
      <c r="E230" s="109"/>
      <c r="F230" s="109"/>
      <c r="G230" s="109"/>
      <c r="H230" s="109"/>
      <c r="I230" s="109"/>
      <c r="J230" s="173">
        <f t="shared" si="44"/>
        <v>0</v>
      </c>
      <c r="K230" s="173">
        <f t="shared" si="45"/>
        <v>0</v>
      </c>
      <c r="L230" s="109"/>
      <c r="M230" s="110"/>
      <c r="N230" s="128"/>
    </row>
    <row r="231" spans="1:14" ht="13.5" customHeight="1" x14ac:dyDescent="0.25">
      <c r="A231" s="721" t="str">
        <f t="shared" si="50"/>
        <v>Waste water management</v>
      </c>
      <c r="B231" s="735"/>
      <c r="C231" s="722">
        <f t="shared" ref="C231:I231" si="52">SUM(C232:C235)</f>
        <v>6434937.2599999998</v>
      </c>
      <c r="D231" s="270">
        <f t="shared" si="52"/>
        <v>0</v>
      </c>
      <c r="E231" s="270">
        <f t="shared" si="52"/>
        <v>0</v>
      </c>
      <c r="F231" s="270">
        <f t="shared" si="52"/>
        <v>0</v>
      </c>
      <c r="G231" s="270">
        <f t="shared" si="52"/>
        <v>0</v>
      </c>
      <c r="H231" s="270">
        <f t="shared" si="52"/>
        <v>0</v>
      </c>
      <c r="I231" s="270">
        <f t="shared" si="52"/>
        <v>0</v>
      </c>
      <c r="J231" s="270">
        <f t="shared" si="44"/>
        <v>0</v>
      </c>
      <c r="K231" s="270">
        <f t="shared" si="45"/>
        <v>6434937.2599999998</v>
      </c>
      <c r="L231" s="270">
        <f>SUM(L232:L235)</f>
        <v>6786273.8642999995</v>
      </c>
      <c r="M231" s="271">
        <f>SUM(M232:M235)</f>
        <v>7302671.9818365006</v>
      </c>
      <c r="N231" s="128"/>
    </row>
    <row r="232" spans="1:14" ht="13.5" customHeight="1" x14ac:dyDescent="0.25">
      <c r="A232" s="840" t="str">
        <f t="shared" si="50"/>
        <v>Public Toilets</v>
      </c>
      <c r="B232" s="735"/>
      <c r="C232" s="389">
        <v>6434937.2599999998</v>
      </c>
      <c r="D232" s="109"/>
      <c r="E232" s="109"/>
      <c r="F232" s="109"/>
      <c r="G232" s="109"/>
      <c r="H232" s="109"/>
      <c r="I232" s="109"/>
      <c r="J232" s="173">
        <f t="shared" si="44"/>
        <v>0</v>
      </c>
      <c r="K232" s="173">
        <f t="shared" si="45"/>
        <v>6434937.2599999998</v>
      </c>
      <c r="L232" s="109">
        <v>6786273.8642999995</v>
      </c>
      <c r="M232" s="110">
        <v>7302671.9818365006</v>
      </c>
      <c r="N232" s="128"/>
    </row>
    <row r="233" spans="1:14" ht="13.5" customHeight="1" x14ac:dyDescent="0.25">
      <c r="A233" s="840" t="str">
        <f t="shared" si="50"/>
        <v>Sewerage</v>
      </c>
      <c r="B233" s="735"/>
      <c r="C233" s="389"/>
      <c r="D233" s="109"/>
      <c r="E233" s="109"/>
      <c r="F233" s="109"/>
      <c r="G233" s="109"/>
      <c r="H233" s="109"/>
      <c r="I233" s="109"/>
      <c r="J233" s="173">
        <f t="shared" si="44"/>
        <v>0</v>
      </c>
      <c r="K233" s="173">
        <f t="shared" si="45"/>
        <v>0</v>
      </c>
      <c r="L233" s="109"/>
      <c r="M233" s="110"/>
      <c r="N233" s="128"/>
    </row>
    <row r="234" spans="1:14" ht="13.5" customHeight="1" x14ac:dyDescent="0.25">
      <c r="A234" s="840" t="str">
        <f t="shared" si="50"/>
        <v>Storm Water Management</v>
      </c>
      <c r="B234" s="735"/>
      <c r="C234" s="389"/>
      <c r="D234" s="109"/>
      <c r="E234" s="109"/>
      <c r="F234" s="109"/>
      <c r="G234" s="109"/>
      <c r="H234" s="109"/>
      <c r="I234" s="109"/>
      <c r="J234" s="173">
        <f t="shared" si="44"/>
        <v>0</v>
      </c>
      <c r="K234" s="173">
        <f t="shared" si="45"/>
        <v>0</v>
      </c>
      <c r="L234" s="109"/>
      <c r="M234" s="110"/>
      <c r="N234" s="128"/>
    </row>
    <row r="235" spans="1:14" ht="13.5" customHeight="1" x14ac:dyDescent="0.25">
      <c r="A235" s="840" t="str">
        <f t="shared" si="50"/>
        <v>Waste Water Treatment</v>
      </c>
      <c r="B235" s="735"/>
      <c r="C235" s="389"/>
      <c r="D235" s="109"/>
      <c r="E235" s="109"/>
      <c r="F235" s="109"/>
      <c r="G235" s="109"/>
      <c r="H235" s="109"/>
      <c r="I235" s="109"/>
      <c r="J235" s="173">
        <f t="shared" si="44"/>
        <v>0</v>
      </c>
      <c r="K235" s="173">
        <f t="shared" si="45"/>
        <v>0</v>
      </c>
      <c r="L235" s="109"/>
      <c r="M235" s="110"/>
      <c r="N235" s="128"/>
    </row>
    <row r="236" spans="1:14" ht="13.5" customHeight="1" x14ac:dyDescent="0.25">
      <c r="A236" s="721" t="str">
        <f t="shared" si="50"/>
        <v>Waste management</v>
      </c>
      <c r="B236" s="735"/>
      <c r="C236" s="722">
        <f>SUM(C237:C240)</f>
        <v>80983449.370000005</v>
      </c>
      <c r="D236" s="270">
        <f>SUM(D237:D240)</f>
        <v>0</v>
      </c>
      <c r="E236" s="270">
        <f>SUM(E237:E240)</f>
        <v>0</v>
      </c>
      <c r="F236" s="270">
        <f t="shared" ref="F236:M236" si="53">SUM(F237:F240)</f>
        <v>0</v>
      </c>
      <c r="G236" s="270">
        <f t="shared" si="53"/>
        <v>0</v>
      </c>
      <c r="H236" s="270">
        <f t="shared" si="53"/>
        <v>0</v>
      </c>
      <c r="I236" s="270">
        <f t="shared" si="53"/>
        <v>0</v>
      </c>
      <c r="J236" s="270">
        <f t="shared" si="44"/>
        <v>0</v>
      </c>
      <c r="K236" s="270">
        <f t="shared" si="45"/>
        <v>80983449.370000005</v>
      </c>
      <c r="L236" s="270">
        <f t="shared" si="53"/>
        <v>83526993.360349983</v>
      </c>
      <c r="M236" s="271">
        <f t="shared" si="53"/>
        <v>87247339.69016923</v>
      </c>
      <c r="N236" s="128"/>
    </row>
    <row r="237" spans="1:14" ht="13.5" customHeight="1" x14ac:dyDescent="0.25">
      <c r="A237" s="840" t="str">
        <f t="shared" si="50"/>
        <v>Recycling</v>
      </c>
      <c r="B237" s="733"/>
      <c r="C237" s="389"/>
      <c r="D237" s="109"/>
      <c r="E237" s="109"/>
      <c r="F237" s="109"/>
      <c r="G237" s="109"/>
      <c r="H237" s="109"/>
      <c r="I237" s="109"/>
      <c r="J237" s="173">
        <f t="shared" si="44"/>
        <v>0</v>
      </c>
      <c r="K237" s="173">
        <f t="shared" si="45"/>
        <v>0</v>
      </c>
      <c r="L237" s="109"/>
      <c r="M237" s="110"/>
      <c r="N237" s="128"/>
    </row>
    <row r="238" spans="1:14" ht="13.5" customHeight="1" x14ac:dyDescent="0.25">
      <c r="A238" s="840" t="str">
        <f t="shared" si="50"/>
        <v>Solid Waste Disposal (Landfill Sites)</v>
      </c>
      <c r="B238" s="735"/>
      <c r="C238" s="389"/>
      <c r="D238" s="109"/>
      <c r="E238" s="109"/>
      <c r="F238" s="109"/>
      <c r="G238" s="109"/>
      <c r="H238" s="109"/>
      <c r="I238" s="109"/>
      <c r="J238" s="173">
        <f t="shared" si="44"/>
        <v>0</v>
      </c>
      <c r="K238" s="173">
        <f t="shared" si="45"/>
        <v>0</v>
      </c>
      <c r="L238" s="109"/>
      <c r="M238" s="110"/>
      <c r="N238" s="128"/>
    </row>
    <row r="239" spans="1:14" ht="13.5" customHeight="1" x14ac:dyDescent="0.25">
      <c r="A239" s="840" t="str">
        <f t="shared" si="50"/>
        <v>Solid Waste Removal</v>
      </c>
      <c r="B239" s="735"/>
      <c r="C239" s="389">
        <v>55054950.579999998</v>
      </c>
      <c r="D239" s="109"/>
      <c r="E239" s="109"/>
      <c r="F239" s="109"/>
      <c r="G239" s="109"/>
      <c r="H239" s="109"/>
      <c r="I239" s="109"/>
      <c r="J239" s="173">
        <f t="shared" si="44"/>
        <v>0</v>
      </c>
      <c r="K239" s="173">
        <f t="shared" si="45"/>
        <v>55054950.579999998</v>
      </c>
      <c r="L239" s="109">
        <v>56172427.136899993</v>
      </c>
      <c r="M239" s="110">
        <v>58388272.324429482</v>
      </c>
      <c r="N239" s="128"/>
    </row>
    <row r="240" spans="1:14" ht="13.5" customHeight="1" x14ac:dyDescent="0.25">
      <c r="A240" s="840" t="str">
        <f t="shared" si="50"/>
        <v>Street Cleaning</v>
      </c>
      <c r="B240" s="735"/>
      <c r="C240" s="389">
        <v>25928498.789999999</v>
      </c>
      <c r="D240" s="109"/>
      <c r="E240" s="109"/>
      <c r="F240" s="109"/>
      <c r="G240" s="109"/>
      <c r="H240" s="109"/>
      <c r="I240" s="109"/>
      <c r="J240" s="173">
        <f t="shared" si="44"/>
        <v>0</v>
      </c>
      <c r="K240" s="173">
        <f t="shared" si="45"/>
        <v>25928498.789999999</v>
      </c>
      <c r="L240" s="109">
        <v>27354566.223449998</v>
      </c>
      <c r="M240" s="110">
        <v>28859067.365739748</v>
      </c>
      <c r="N240" s="128"/>
    </row>
    <row r="241" spans="1:14" ht="13.5" customHeight="1" x14ac:dyDescent="0.25">
      <c r="A241" s="107" t="str">
        <f t="shared" si="50"/>
        <v>Other</v>
      </c>
      <c r="B241" s="733"/>
      <c r="C241" s="722">
        <f>SUM(C242:C247)</f>
        <v>0</v>
      </c>
      <c r="D241" s="270">
        <f t="shared" ref="D241:I241" si="54">SUM(D242:D247)</f>
        <v>0</v>
      </c>
      <c r="E241" s="270">
        <f t="shared" si="54"/>
        <v>0</v>
      </c>
      <c r="F241" s="270">
        <f t="shared" si="54"/>
        <v>0</v>
      </c>
      <c r="G241" s="270">
        <f t="shared" si="54"/>
        <v>0</v>
      </c>
      <c r="H241" s="270">
        <f t="shared" si="54"/>
        <v>0</v>
      </c>
      <c r="I241" s="270">
        <f t="shared" si="54"/>
        <v>0</v>
      </c>
      <c r="J241" s="270">
        <f t="shared" si="44"/>
        <v>0</v>
      </c>
      <c r="K241" s="270">
        <f t="shared" si="45"/>
        <v>0</v>
      </c>
      <c r="L241" s="270">
        <f>SUM(L242:L247)</f>
        <v>0</v>
      </c>
      <c r="M241" s="271">
        <f>SUM(M242:M247)</f>
        <v>0</v>
      </c>
      <c r="N241" s="128"/>
    </row>
    <row r="242" spans="1:14" ht="13.5" customHeight="1" x14ac:dyDescent="0.25">
      <c r="A242" s="721" t="str">
        <f t="shared" si="50"/>
        <v>Abattoirs</v>
      </c>
      <c r="B242" s="733"/>
      <c r="C242" s="389"/>
      <c r="D242" s="109"/>
      <c r="E242" s="109"/>
      <c r="F242" s="109"/>
      <c r="G242" s="109"/>
      <c r="H242" s="109"/>
      <c r="I242" s="109"/>
      <c r="J242" s="173">
        <f t="shared" si="44"/>
        <v>0</v>
      </c>
      <c r="K242" s="173">
        <f t="shared" si="45"/>
        <v>0</v>
      </c>
      <c r="L242" s="109"/>
      <c r="M242" s="110"/>
      <c r="N242" s="128"/>
    </row>
    <row r="243" spans="1:14" ht="13.5" customHeight="1" x14ac:dyDescent="0.25">
      <c r="A243" s="721" t="str">
        <f t="shared" si="50"/>
        <v>Air Transport</v>
      </c>
      <c r="B243" s="733"/>
      <c r="C243" s="389"/>
      <c r="D243" s="109"/>
      <c r="E243" s="109"/>
      <c r="F243" s="109"/>
      <c r="G243" s="109"/>
      <c r="H243" s="109"/>
      <c r="I243" s="109"/>
      <c r="J243" s="173">
        <f t="shared" si="44"/>
        <v>0</v>
      </c>
      <c r="K243" s="173">
        <f t="shared" si="45"/>
        <v>0</v>
      </c>
      <c r="L243" s="109"/>
      <c r="M243" s="110"/>
      <c r="N243" s="128"/>
    </row>
    <row r="244" spans="1:14" ht="13.5" customHeight="1" x14ac:dyDescent="0.25">
      <c r="A244" s="721" t="str">
        <f t="shared" si="50"/>
        <v xml:space="preserve">Forestry </v>
      </c>
      <c r="B244" s="733"/>
      <c r="C244" s="389"/>
      <c r="D244" s="109"/>
      <c r="E244" s="109"/>
      <c r="F244" s="109"/>
      <c r="G244" s="109"/>
      <c r="H244" s="109"/>
      <c r="I244" s="109"/>
      <c r="J244" s="173">
        <f t="shared" si="44"/>
        <v>0</v>
      </c>
      <c r="K244" s="173">
        <f t="shared" si="45"/>
        <v>0</v>
      </c>
      <c r="L244" s="109"/>
      <c r="M244" s="110"/>
      <c r="N244" s="128"/>
    </row>
    <row r="245" spans="1:14" ht="13.5" customHeight="1" x14ac:dyDescent="0.25">
      <c r="A245" s="721" t="str">
        <f t="shared" si="50"/>
        <v>Licensing and Regulation</v>
      </c>
      <c r="B245" s="733"/>
      <c r="C245" s="389"/>
      <c r="D245" s="109"/>
      <c r="E245" s="109"/>
      <c r="F245" s="109"/>
      <c r="G245" s="109"/>
      <c r="H245" s="109"/>
      <c r="I245" s="109"/>
      <c r="J245" s="173">
        <f t="shared" si="44"/>
        <v>0</v>
      </c>
      <c r="K245" s="173">
        <f t="shared" si="45"/>
        <v>0</v>
      </c>
      <c r="L245" s="109"/>
      <c r="M245" s="110"/>
      <c r="N245" s="128"/>
    </row>
    <row r="246" spans="1:14" ht="13.5" customHeight="1" x14ac:dyDescent="0.25">
      <c r="A246" s="721" t="str">
        <f t="shared" si="50"/>
        <v>Markets</v>
      </c>
      <c r="B246" s="733"/>
      <c r="C246" s="389"/>
      <c r="D246" s="109"/>
      <c r="E246" s="109"/>
      <c r="F246" s="109"/>
      <c r="G246" s="109"/>
      <c r="H246" s="109"/>
      <c r="I246" s="109"/>
      <c r="J246" s="173">
        <f t="shared" si="44"/>
        <v>0</v>
      </c>
      <c r="K246" s="173">
        <f t="shared" si="45"/>
        <v>0</v>
      </c>
      <c r="L246" s="109"/>
      <c r="M246" s="110"/>
      <c r="N246" s="128"/>
    </row>
    <row r="247" spans="1:14" ht="13.5" customHeight="1" x14ac:dyDescent="0.25">
      <c r="A247" s="721" t="str">
        <f t="shared" si="50"/>
        <v>Tourism</v>
      </c>
      <c r="B247" s="733"/>
      <c r="C247" s="389"/>
      <c r="D247" s="109"/>
      <c r="E247" s="109"/>
      <c r="F247" s="109"/>
      <c r="G247" s="109"/>
      <c r="H247" s="109"/>
      <c r="I247" s="109"/>
      <c r="J247" s="173">
        <f t="shared" si="44"/>
        <v>0</v>
      </c>
      <c r="K247" s="173">
        <f t="shared" si="45"/>
        <v>0</v>
      </c>
      <c r="L247" s="109"/>
      <c r="M247" s="110"/>
      <c r="N247" s="128"/>
    </row>
    <row r="248" spans="1:14" ht="13.5" customHeight="1" x14ac:dyDescent="0.25">
      <c r="A248" s="278" t="str">
        <f>"Total "&amp;A128</f>
        <v>Total Expenditure - Functional</v>
      </c>
      <c r="B248" s="733">
        <v>3</v>
      </c>
      <c r="C248" s="688">
        <f t="shared" ref="C248:I248" si="55">C129+C149+C198+C222+C241</f>
        <v>1162471121.0799999</v>
      </c>
      <c r="D248" s="689">
        <f t="shared" si="55"/>
        <v>0</v>
      </c>
      <c r="E248" s="689">
        <f t="shared" si="55"/>
        <v>0</v>
      </c>
      <c r="F248" s="689">
        <f t="shared" si="55"/>
        <v>0</v>
      </c>
      <c r="G248" s="689">
        <f t="shared" si="55"/>
        <v>0</v>
      </c>
      <c r="H248" s="689">
        <f t="shared" si="55"/>
        <v>0</v>
      </c>
      <c r="I248" s="689">
        <f t="shared" si="55"/>
        <v>21668495</v>
      </c>
      <c r="J248" s="689">
        <f t="shared" si="44"/>
        <v>21668495</v>
      </c>
      <c r="K248" s="689">
        <f t="shared" si="45"/>
        <v>1184139616.0799999</v>
      </c>
      <c r="L248" s="689">
        <f>L129+L149+L198+L222+L241</f>
        <v>1220134066.6281998</v>
      </c>
      <c r="M248" s="690">
        <f>M129+M149+M198+M222+M241</f>
        <v>1278822450.9777508</v>
      </c>
      <c r="N248" s="128"/>
    </row>
    <row r="249" spans="1:14" ht="13.5" customHeight="1" x14ac:dyDescent="0.25">
      <c r="A249" s="724" t="str">
        <f>result</f>
        <v>Surplus/ (Deficit) for the year</v>
      </c>
      <c r="B249" s="736"/>
      <c r="C249" s="89">
        <f t="shared" ref="C249:I249" si="56">C126-C248</f>
        <v>14316451.920000076</v>
      </c>
      <c r="D249" s="90">
        <f t="shared" si="56"/>
        <v>0</v>
      </c>
      <c r="E249" s="90">
        <f t="shared" si="56"/>
        <v>0</v>
      </c>
      <c r="F249" s="90">
        <f t="shared" si="56"/>
        <v>0</v>
      </c>
      <c r="G249" s="90">
        <f t="shared" si="56"/>
        <v>0</v>
      </c>
      <c r="H249" s="90">
        <f t="shared" si="56"/>
        <v>0</v>
      </c>
      <c r="I249" s="90">
        <f t="shared" si="56"/>
        <v>-22168495</v>
      </c>
      <c r="J249" s="738">
        <f t="shared" si="44"/>
        <v>-22168495</v>
      </c>
      <c r="K249" s="738">
        <f t="shared" si="45"/>
        <v>-7852043.0799999237</v>
      </c>
      <c r="L249" s="90">
        <f>L126-L248</f>
        <v>29905772.886800289</v>
      </c>
      <c r="M249" s="91">
        <f>M126-M248</f>
        <v>49427149.71057415</v>
      </c>
      <c r="N249" s="128"/>
    </row>
    <row r="250" spans="1:14" ht="13.5" x14ac:dyDescent="0.25">
      <c r="A250" s="651" t="str">
        <f>head27a</f>
        <v>References</v>
      </c>
      <c r="B250" s="725"/>
      <c r="C250" s="726"/>
      <c r="D250" s="726"/>
      <c r="E250" s="726"/>
      <c r="F250" s="726"/>
      <c r="G250" s="726"/>
      <c r="H250" s="726"/>
      <c r="I250" s="726"/>
      <c r="J250" s="884"/>
      <c r="K250" s="884"/>
      <c r="L250" s="5"/>
    </row>
    <row r="251" spans="1:14" ht="13.5" x14ac:dyDescent="0.25">
      <c r="A251" s="120" t="s">
        <v>1017</v>
      </c>
      <c r="B251" s="725"/>
      <c r="C251" s="727"/>
      <c r="D251" s="727"/>
      <c r="E251" s="728"/>
      <c r="F251" s="728"/>
      <c r="G251" s="728"/>
      <c r="H251" s="728"/>
      <c r="I251" s="728"/>
      <c r="J251" s="885"/>
      <c r="K251" s="885"/>
      <c r="L251" s="5"/>
    </row>
    <row r="252" spans="1:14" ht="13.5" x14ac:dyDescent="0.25">
      <c r="A252" s="649" t="s">
        <v>1584</v>
      </c>
      <c r="B252" s="725"/>
      <c r="C252" s="727"/>
      <c r="D252" s="727"/>
      <c r="E252" s="728"/>
      <c r="F252" s="728"/>
      <c r="G252" s="728"/>
      <c r="H252" s="728"/>
      <c r="I252" s="728"/>
      <c r="J252" s="885"/>
      <c r="K252" s="885"/>
      <c r="L252" s="5"/>
    </row>
    <row r="253" spans="1:14" ht="13.5" x14ac:dyDescent="0.25">
      <c r="A253" s="120" t="s">
        <v>1585</v>
      </c>
      <c r="B253" s="725"/>
      <c r="C253" s="727"/>
      <c r="D253" s="727"/>
      <c r="E253" s="728"/>
      <c r="F253" s="728"/>
      <c r="G253" s="728"/>
      <c r="H253" s="728"/>
      <c r="I253" s="728"/>
      <c r="J253" s="885"/>
      <c r="K253" s="885"/>
      <c r="L253" s="5"/>
    </row>
    <row r="254" spans="1:14" ht="13.5" x14ac:dyDescent="0.25">
      <c r="A254" s="1396" t="s">
        <v>1586</v>
      </c>
      <c r="B254" s="1396"/>
      <c r="C254" s="1396"/>
      <c r="D254" s="1396"/>
      <c r="E254" s="1396"/>
      <c r="F254" s="1396"/>
      <c r="G254" s="1396"/>
      <c r="H254" s="1396"/>
      <c r="I254" s="1396"/>
      <c r="J254" s="1396"/>
      <c r="K254" s="1396"/>
      <c r="L254" s="5"/>
    </row>
    <row r="255" spans="1:14" ht="13.5" x14ac:dyDescent="0.25">
      <c r="A255" s="48"/>
      <c r="B255" s="121"/>
      <c r="C255" s="507"/>
      <c r="D255" s="507"/>
      <c r="E255" s="53"/>
      <c r="F255" s="53"/>
      <c r="G255" s="53"/>
      <c r="H255" s="53"/>
      <c r="I255" s="53"/>
      <c r="J255" s="552"/>
      <c r="K255" s="552"/>
      <c r="L255" s="5"/>
    </row>
    <row r="256" spans="1:14" x14ac:dyDescent="0.2">
      <c r="A256" s="838"/>
      <c r="B256" s="838"/>
      <c r="C256" s="838"/>
    </row>
    <row r="257" spans="1:3" x14ac:dyDescent="0.2">
      <c r="A257" s="838"/>
      <c r="B257" s="838"/>
      <c r="C257" s="838"/>
    </row>
    <row r="258" spans="1:3" x14ac:dyDescent="0.2">
      <c r="A258" s="838"/>
      <c r="B258" s="838"/>
      <c r="C258" s="838"/>
    </row>
    <row r="259" spans="1:3" x14ac:dyDescent="0.2">
      <c r="A259" s="838"/>
      <c r="B259" s="838"/>
      <c r="C259" s="838"/>
    </row>
    <row r="260" spans="1:3" x14ac:dyDescent="0.2">
      <c r="A260" s="838"/>
      <c r="B260" s="838"/>
      <c r="C260" s="838"/>
    </row>
    <row r="261" spans="1:3" x14ac:dyDescent="0.2">
      <c r="A261" s="838"/>
      <c r="B261" s="838"/>
      <c r="C261" s="838"/>
    </row>
    <row r="262" spans="1:3" x14ac:dyDescent="0.2">
      <c r="A262" s="838"/>
      <c r="B262" s="838"/>
      <c r="C262" s="838"/>
    </row>
    <row r="263" spans="1:3" x14ac:dyDescent="0.2">
      <c r="A263" s="838"/>
      <c r="B263" s="838"/>
      <c r="C263" s="838"/>
    </row>
    <row r="264" spans="1:3" x14ac:dyDescent="0.2">
      <c r="A264" s="838"/>
      <c r="B264" s="838"/>
      <c r="C264" s="838"/>
    </row>
    <row r="265" spans="1:3" x14ac:dyDescent="0.2">
      <c r="A265" s="838"/>
      <c r="B265" s="838"/>
      <c r="C265" s="838"/>
    </row>
    <row r="266" spans="1:3" x14ac:dyDescent="0.2">
      <c r="A266" s="838"/>
      <c r="B266" s="838"/>
      <c r="C266" s="838"/>
    </row>
    <row r="267" spans="1:3" x14ac:dyDescent="0.2">
      <c r="A267" s="838"/>
      <c r="B267" s="838"/>
      <c r="C267" s="838"/>
    </row>
    <row r="268" spans="1:3" x14ac:dyDescent="0.2">
      <c r="A268" s="838"/>
      <c r="B268" s="838"/>
      <c r="C268" s="838"/>
    </row>
    <row r="269" spans="1:3" x14ac:dyDescent="0.2">
      <c r="A269" s="838"/>
      <c r="B269" s="838"/>
      <c r="C269" s="838"/>
    </row>
    <row r="270" spans="1:3" x14ac:dyDescent="0.2">
      <c r="A270" s="838"/>
      <c r="B270" s="838"/>
      <c r="C270" s="838"/>
    </row>
    <row r="271" spans="1:3" x14ac:dyDescent="0.2">
      <c r="A271" s="838"/>
      <c r="B271" s="838"/>
      <c r="C271" s="838"/>
    </row>
    <row r="272" spans="1:3" x14ac:dyDescent="0.2">
      <c r="A272" s="838"/>
      <c r="B272" s="838"/>
      <c r="C272" s="838"/>
    </row>
    <row r="273" spans="1:3" x14ac:dyDescent="0.2">
      <c r="A273" s="838"/>
      <c r="B273" s="838"/>
      <c r="C273" s="838"/>
    </row>
  </sheetData>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DA15818-C094-40EA-B5BA-E9E5F7CA4FCA}">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oupa</cp:lastModifiedBy>
  <cp:lastPrinted>2016-12-14T06:17:31Z</cp:lastPrinted>
  <dcterms:created xsi:type="dcterms:W3CDTF">2009-03-24T13:39:17Z</dcterms:created>
  <dcterms:modified xsi:type="dcterms:W3CDTF">2019-03-01T10:30:14Z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